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Y:\REAJUSTE\Permissionárias de Distribuição\2022\11- NOVEMBRO\1 - Ceral Anitápolis - Beatriz\Estrutura\"/>
    </mc:Choice>
  </mc:AlternateContent>
  <xr:revisionPtr revIDLastSave="0" documentId="13_ncr:1_{A9FAAF66-B5CB-427B-80E5-98692B48E62C}" xr6:coauthVersionLast="47" xr6:coauthVersionMax="47" xr10:uidLastSave="{00000000-0000-0000-0000-000000000000}"/>
  <bookViews>
    <workbookView xWindow="-21720" yWindow="-120" windowWidth="21840" windowHeight="13140" firstSheet="13" activeTab="19" xr2:uid="{005FBDFD-815B-49AC-B9BD-ED3E4F8A9335}"/>
  </bookViews>
  <sheets>
    <sheet name="Mercado_Receita" sheetId="1" r:id="rId1"/>
    <sheet name="EVENTOS" sheetId="2" r:id="rId2"/>
    <sheet name="TAR FIN" sheetId="15" r:id="rId3"/>
    <sheet name="MERCADO TUSD" sheetId="3" r:id="rId4"/>
    <sheet name="MERCADO TE" sheetId="4" r:id="rId5"/>
    <sheet name="CUSTOS" sheetId="5" r:id="rId6"/>
    <sheet name="TRANSICAO" sheetId="14" r:id="rId7"/>
    <sheet name="TR TUSD" sheetId="6" r:id="rId8"/>
    <sheet name="TUSD BE" sheetId="7" r:id="rId9"/>
    <sheet name="TUSD BF" sheetId="8" r:id="rId10"/>
    <sheet name="TUSD CVA" sheetId="9" r:id="rId11"/>
    <sheet name="TR TE" sheetId="10" r:id="rId12"/>
    <sheet name="TE BE" sheetId="11" r:id="rId13"/>
    <sheet name="TE BF" sheetId="12" r:id="rId14"/>
    <sheet name="TE CVA" sheetId="13" r:id="rId15"/>
    <sheet name="EFEITO" sheetId="16" r:id="rId16"/>
    <sheet name="SUBSIDIO" sheetId="17" r:id="rId17"/>
    <sheet name="TabDinEfeito" sheetId="18" r:id="rId18"/>
    <sheet name="TabDinSubsidio" sheetId="19" r:id="rId19"/>
    <sheet name="TABELAS REH" sheetId="33" r:id="rId20"/>
    <sheet name="CONSISTENCIA" sheetId="27" r:id="rId21"/>
    <sheet name="TUSD" sheetId="28" r:id="rId22"/>
    <sheet name="TE" sheetId="29" r:id="rId23"/>
    <sheet name="RESUMO TUSD" sheetId="30" r:id="rId24"/>
    <sheet name="RESUMO TE" sheetId="31" r:id="rId25"/>
    <sheet name="Descontos" sheetId="20" r:id="rId26"/>
    <sheet name="ERD" sheetId="32" r:id="rId27"/>
    <sheet name="TA - Aplicação" sheetId="34" r:id="rId28"/>
    <sheet name="TA - BE" sheetId="35" r:id="rId29"/>
    <sheet name="TA - CVA" sheetId="36" r:id="rId30"/>
  </sheets>
  <definedNames>
    <definedName name="DadosExternos_1" localSheetId="27" hidden="1">'TA - Aplicação'!$B$3:$AT$49</definedName>
    <definedName name="DadosExternos_1" localSheetId="28" hidden="1">'TA - BE'!$B$3:$AT$49</definedName>
    <definedName name="DadosExternos_1" localSheetId="29" hidden="1">'TA - CVA'!$B$3:$AT$49</definedName>
  </definedNames>
  <calcPr calcId="191029" iterate="1"/>
  <pivotCaches>
    <pivotCache cacheId="18" r:id="rId31"/>
    <pivotCache cacheId="19" r:id="rId3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2" l="1"/>
  <c r="D10" i="32" s="1"/>
  <c r="B3" i="32" s="1"/>
  <c r="E10" i="32"/>
  <c r="D3" i="32" l="1"/>
  <c r="C3" i="32"/>
  <c r="E3" i="32"/>
  <c r="V33" i="33" l="1"/>
  <c r="V32" i="33"/>
  <c r="V31" i="33"/>
  <c r="V30" i="33"/>
  <c r="V29" i="33"/>
  <c r="V28" i="33"/>
  <c r="V27" i="33"/>
  <c r="V26" i="33"/>
  <c r="V21" i="33"/>
  <c r="V16" i="33"/>
  <c r="V25" i="33"/>
  <c r="V20" i="33"/>
  <c r="V15" i="33"/>
  <c r="V24" i="33"/>
  <c r="V23" i="33"/>
  <c r="V22" i="33"/>
  <c r="V19" i="33"/>
  <c r="V18" i="33"/>
  <c r="V17" i="33"/>
  <c r="V14" i="33"/>
  <c r="V13" i="33"/>
  <c r="V12" i="33"/>
  <c r="V11" i="33"/>
  <c r="V9" i="33"/>
  <c r="V10" i="33"/>
  <c r="V8" i="33"/>
  <c r="V7" i="33"/>
  <c r="V6" i="33"/>
  <c r="V5" i="33"/>
  <c r="J11" i="33"/>
  <c r="J10" i="33"/>
  <c r="J6" i="33"/>
  <c r="J5" i="33"/>
  <c r="I3" i="32"/>
  <c r="B2" i="32"/>
  <c r="C2" i="32"/>
  <c r="D2" i="32"/>
  <c r="E2" i="32"/>
  <c r="F2" i="32"/>
  <c r="G2" i="32"/>
  <c r="H2" i="32"/>
  <c r="I2" i="32"/>
  <c r="J2" i="32"/>
  <c r="K2" i="32"/>
  <c r="L2" i="32"/>
  <c r="B11" i="32"/>
  <c r="L5" i="31" l="1"/>
  <c r="K5" i="31"/>
  <c r="J5" i="31"/>
  <c r="I5" i="31"/>
  <c r="H5" i="31"/>
  <c r="G5" i="31"/>
  <c r="F5" i="31"/>
  <c r="E5" i="31"/>
  <c r="D5" i="31"/>
  <c r="C5" i="31"/>
  <c r="B5" i="31"/>
  <c r="I2" i="31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I2" i="30"/>
  <c r="AE13" i="27"/>
  <c r="AD13" i="27"/>
  <c r="AC13" i="27"/>
  <c r="AB13" i="27"/>
  <c r="AA13" i="27"/>
  <c r="W13" i="27"/>
  <c r="V13" i="27"/>
  <c r="U13" i="27"/>
  <c r="AI13" i="27" s="1"/>
  <c r="T13" i="27"/>
  <c r="S13" i="27"/>
  <c r="Y13" i="27" s="1"/>
  <c r="AG13" i="27" s="1"/>
  <c r="R13" i="27"/>
  <c r="AE12" i="27"/>
  <c r="AD12" i="27"/>
  <c r="AE8" i="27"/>
  <c r="AD8" i="27"/>
  <c r="AC8" i="27"/>
  <c r="AB8" i="27"/>
  <c r="AA8" i="27"/>
  <c r="W8" i="27"/>
  <c r="V8" i="27"/>
  <c r="U8" i="27"/>
  <c r="T8" i="27"/>
  <c r="S8" i="27"/>
  <c r="Y8" i="27" s="1"/>
  <c r="AG8" i="27" s="1"/>
  <c r="R8" i="27"/>
  <c r="AE7" i="27"/>
  <c r="AD7" i="27"/>
  <c r="AC7" i="27"/>
  <c r="AB7" i="27"/>
  <c r="AA7" i="27"/>
  <c r="W7" i="27"/>
  <c r="V7" i="27"/>
  <c r="U7" i="27"/>
  <c r="AI7" i="27" s="1"/>
  <c r="T7" i="27"/>
  <c r="S7" i="27"/>
  <c r="Y7" i="27" s="1"/>
  <c r="R7" i="27"/>
  <c r="AE6" i="27"/>
  <c r="AD6" i="27"/>
  <c r="AC6" i="27"/>
  <c r="AB6" i="27"/>
  <c r="AA6" i="27"/>
  <c r="W6" i="27"/>
  <c r="V6" i="27"/>
  <c r="U6" i="27"/>
  <c r="T6" i="27"/>
  <c r="S6" i="27"/>
  <c r="R6" i="27"/>
  <c r="X6" i="27" s="1"/>
  <c r="AE5" i="27"/>
  <c r="AD5" i="27"/>
  <c r="AC5" i="27"/>
  <c r="AB5" i="27"/>
  <c r="AA5" i="27"/>
  <c r="Y5" i="27"/>
  <c r="AG5" i="27" s="1"/>
  <c r="W5" i="27"/>
  <c r="V5" i="27"/>
  <c r="U5" i="27"/>
  <c r="T5" i="27"/>
  <c r="S5" i="27"/>
  <c r="R5" i="27"/>
  <c r="AE4" i="27"/>
  <c r="AD4" i="27"/>
  <c r="AC4" i="27"/>
  <c r="AB4" i="27"/>
  <c r="AA4" i="27"/>
  <c r="W4" i="27"/>
  <c r="V4" i="27"/>
  <c r="U4" i="27"/>
  <c r="AI4" i="27" s="1"/>
  <c r="T4" i="27"/>
  <c r="S4" i="27"/>
  <c r="Y4" i="27" s="1"/>
  <c r="AG4" i="27" s="1"/>
  <c r="R4" i="27"/>
  <c r="AE3" i="27"/>
  <c r="AD3" i="27"/>
  <c r="AC3" i="27"/>
  <c r="AB3" i="27"/>
  <c r="AA3" i="27"/>
  <c r="W3" i="27"/>
  <c r="V3" i="27"/>
  <c r="U3" i="27"/>
  <c r="AI3" i="27" s="1"/>
  <c r="T3" i="27"/>
  <c r="S3" i="27"/>
  <c r="Y3" i="27" s="1"/>
  <c r="R3" i="27"/>
  <c r="J162" i="27"/>
  <c r="M162" i="27" s="1"/>
  <c r="J161" i="27"/>
  <c r="J160" i="27"/>
  <c r="M160" i="27" s="1"/>
  <c r="J159" i="27"/>
  <c r="J158" i="27"/>
  <c r="M158" i="27" s="1"/>
  <c r="J157" i="27"/>
  <c r="J156" i="27"/>
  <c r="J155" i="27"/>
  <c r="J154" i="27"/>
  <c r="M154" i="27" s="1"/>
  <c r="J153" i="27"/>
  <c r="J152" i="27"/>
  <c r="M152" i="27" s="1"/>
  <c r="J151" i="27"/>
  <c r="J174" i="27"/>
  <c r="M174" i="27" s="1"/>
  <c r="J173" i="27"/>
  <c r="M173" i="27" s="1"/>
  <c r="J172" i="27"/>
  <c r="M172" i="27" s="1"/>
  <c r="M171" i="27"/>
  <c r="J171" i="27"/>
  <c r="J170" i="27"/>
  <c r="M170" i="27" s="1"/>
  <c r="J169" i="27"/>
  <c r="M169" i="27" s="1"/>
  <c r="J168" i="27"/>
  <c r="M168" i="27" s="1"/>
  <c r="M167" i="27"/>
  <c r="J167" i="27"/>
  <c r="J166" i="27"/>
  <c r="M166" i="27" s="1"/>
  <c r="J165" i="27"/>
  <c r="M165" i="27" s="1"/>
  <c r="J164" i="27"/>
  <c r="M164" i="27" s="1"/>
  <c r="M163" i="27"/>
  <c r="J163" i="27"/>
  <c r="M161" i="27"/>
  <c r="M159" i="27"/>
  <c r="M157" i="27"/>
  <c r="M156" i="27"/>
  <c r="M155" i="27"/>
  <c r="M153" i="27"/>
  <c r="M151" i="27"/>
  <c r="J150" i="27"/>
  <c r="M150" i="27" s="1"/>
  <c r="J149" i="27"/>
  <c r="M149" i="27" s="1"/>
  <c r="J148" i="27"/>
  <c r="M148" i="27" s="1"/>
  <c r="J147" i="27"/>
  <c r="M147" i="27" s="1"/>
  <c r="J146" i="27"/>
  <c r="M146" i="27" s="1"/>
  <c r="J145" i="27"/>
  <c r="M145" i="27" s="1"/>
  <c r="J144" i="27"/>
  <c r="M144" i="27" s="1"/>
  <c r="J143" i="27"/>
  <c r="M143" i="27" s="1"/>
  <c r="J142" i="27"/>
  <c r="M142" i="27" s="1"/>
  <c r="J141" i="27"/>
  <c r="M141" i="27" s="1"/>
  <c r="J140" i="27"/>
  <c r="M140" i="27" s="1"/>
  <c r="J139" i="27"/>
  <c r="M139" i="27" s="1"/>
  <c r="J138" i="27"/>
  <c r="M138" i="27" s="1"/>
  <c r="J137" i="27"/>
  <c r="M137" i="27" s="1"/>
  <c r="J136" i="27"/>
  <c r="M136" i="27" s="1"/>
  <c r="J135" i="27"/>
  <c r="M135" i="27" s="1"/>
  <c r="J134" i="27"/>
  <c r="M134" i="27" s="1"/>
  <c r="J133" i="27"/>
  <c r="M133" i="27" s="1"/>
  <c r="J132" i="27"/>
  <c r="M132" i="27" s="1"/>
  <c r="J131" i="27"/>
  <c r="M131" i="27" s="1"/>
  <c r="J130" i="27"/>
  <c r="M130" i="27" s="1"/>
  <c r="J129" i="27"/>
  <c r="M129" i="27" s="1"/>
  <c r="J128" i="27"/>
  <c r="M128" i="27" s="1"/>
  <c r="J127" i="27"/>
  <c r="M127" i="27" s="1"/>
  <c r="J126" i="27"/>
  <c r="M126" i="27" s="1"/>
  <c r="J125" i="27"/>
  <c r="M125" i="27" s="1"/>
  <c r="J124" i="27"/>
  <c r="M124" i="27" s="1"/>
  <c r="J123" i="27"/>
  <c r="M123" i="27" s="1"/>
  <c r="J122" i="27"/>
  <c r="M122" i="27" s="1"/>
  <c r="J121" i="27"/>
  <c r="M121" i="27" s="1"/>
  <c r="J120" i="27"/>
  <c r="M120" i="27" s="1"/>
  <c r="J119" i="27"/>
  <c r="M119" i="27" s="1"/>
  <c r="J118" i="27"/>
  <c r="M118" i="27" s="1"/>
  <c r="J117" i="27"/>
  <c r="M117" i="27" s="1"/>
  <c r="J116" i="27"/>
  <c r="M116" i="27" s="1"/>
  <c r="J115" i="27"/>
  <c r="M115" i="27" s="1"/>
  <c r="J114" i="27"/>
  <c r="M114" i="27" s="1"/>
  <c r="J113" i="27"/>
  <c r="M113" i="27" s="1"/>
  <c r="J112" i="27"/>
  <c r="M112" i="27" s="1"/>
  <c r="J111" i="27"/>
  <c r="M111" i="27" s="1"/>
  <c r="M110" i="27"/>
  <c r="J110" i="27"/>
  <c r="J109" i="27"/>
  <c r="M109" i="27" s="1"/>
  <c r="J108" i="27"/>
  <c r="M108" i="27" s="1"/>
  <c r="M107" i="27"/>
  <c r="J107" i="27"/>
  <c r="J106" i="27"/>
  <c r="M106" i="27" s="1"/>
  <c r="J105" i="27"/>
  <c r="M105" i="27" s="1"/>
  <c r="J104" i="27"/>
  <c r="M104" i="27" s="1"/>
  <c r="M103" i="27"/>
  <c r="J103" i="27"/>
  <c r="J102" i="27"/>
  <c r="M102" i="27" s="1"/>
  <c r="J101" i="27"/>
  <c r="M101" i="27" s="1"/>
  <c r="J100" i="27"/>
  <c r="M100" i="27" s="1"/>
  <c r="M99" i="27"/>
  <c r="J99" i="27"/>
  <c r="J98" i="27"/>
  <c r="M98" i="27" s="1"/>
  <c r="J97" i="27"/>
  <c r="M97" i="27" s="1"/>
  <c r="J96" i="27"/>
  <c r="M96" i="27" s="1"/>
  <c r="M95" i="27"/>
  <c r="J95" i="27"/>
  <c r="J94" i="27"/>
  <c r="M94" i="27" s="1"/>
  <c r="J93" i="27"/>
  <c r="M93" i="27" s="1"/>
  <c r="J92" i="27"/>
  <c r="M92" i="27" s="1"/>
  <c r="M91" i="27"/>
  <c r="J91" i="27"/>
  <c r="J90" i="27"/>
  <c r="M90" i="27" s="1"/>
  <c r="J89" i="27"/>
  <c r="M89" i="27" s="1"/>
  <c r="J88" i="27"/>
  <c r="M88" i="27" s="1"/>
  <c r="M87" i="27"/>
  <c r="J87" i="27"/>
  <c r="J86" i="27"/>
  <c r="M86" i="27" s="1"/>
  <c r="J85" i="27"/>
  <c r="M85" i="27" s="1"/>
  <c r="J84" i="27"/>
  <c r="M84" i="27" s="1"/>
  <c r="M83" i="27"/>
  <c r="J83" i="27"/>
  <c r="J82" i="27"/>
  <c r="M82" i="27" s="1"/>
  <c r="J81" i="27"/>
  <c r="M81" i="27" s="1"/>
  <c r="J80" i="27"/>
  <c r="M80" i="27" s="1"/>
  <c r="M79" i="27"/>
  <c r="J79" i="27"/>
  <c r="J78" i="27"/>
  <c r="M78" i="27" s="1"/>
  <c r="J77" i="27"/>
  <c r="M77" i="27" s="1"/>
  <c r="J76" i="27"/>
  <c r="M76" i="27" s="1"/>
  <c r="M75" i="27"/>
  <c r="J75" i="27"/>
  <c r="J74" i="27"/>
  <c r="M74" i="27" s="1"/>
  <c r="J73" i="27"/>
  <c r="M73" i="27" s="1"/>
  <c r="J72" i="27"/>
  <c r="M72" i="27" s="1"/>
  <c r="M71" i="27"/>
  <c r="J71" i="27"/>
  <c r="J70" i="27"/>
  <c r="M70" i="27" s="1"/>
  <c r="J69" i="27"/>
  <c r="M69" i="27" s="1"/>
  <c r="J68" i="27"/>
  <c r="M68" i="27" s="1"/>
  <c r="M67" i="27"/>
  <c r="J67" i="27"/>
  <c r="M66" i="27"/>
  <c r="J66" i="27"/>
  <c r="M65" i="27"/>
  <c r="J65" i="27"/>
  <c r="M64" i="27"/>
  <c r="J64" i="27"/>
  <c r="M63" i="27"/>
  <c r="J63" i="27"/>
  <c r="M62" i="27"/>
  <c r="J62" i="27"/>
  <c r="M61" i="27"/>
  <c r="J61" i="27"/>
  <c r="M60" i="27"/>
  <c r="J60" i="27"/>
  <c r="M59" i="27"/>
  <c r="J59" i="27"/>
  <c r="M58" i="27"/>
  <c r="J58" i="27"/>
  <c r="M57" i="27"/>
  <c r="J57" i="27"/>
  <c r="M56" i="27"/>
  <c r="J56" i="27"/>
  <c r="M55" i="27"/>
  <c r="J55" i="27"/>
  <c r="M54" i="27"/>
  <c r="J54" i="27"/>
  <c r="M53" i="27"/>
  <c r="J53" i="27"/>
  <c r="M52" i="27"/>
  <c r="J52" i="27"/>
  <c r="M51" i="27"/>
  <c r="J51" i="27"/>
  <c r="M50" i="27"/>
  <c r="J50" i="27"/>
  <c r="M49" i="27"/>
  <c r="J49" i="27"/>
  <c r="M48" i="27"/>
  <c r="J48" i="27"/>
  <c r="M47" i="27"/>
  <c r="J47" i="27"/>
  <c r="M46" i="27"/>
  <c r="J46" i="27"/>
  <c r="M45" i="27"/>
  <c r="J45" i="27"/>
  <c r="M44" i="27"/>
  <c r="J44" i="27"/>
  <c r="M43" i="27"/>
  <c r="J43" i="27"/>
  <c r="M42" i="27"/>
  <c r="J42" i="27"/>
  <c r="M41" i="27"/>
  <c r="J41" i="27"/>
  <c r="M40" i="27"/>
  <c r="J40" i="27"/>
  <c r="M39" i="27"/>
  <c r="J39" i="27"/>
  <c r="M38" i="27"/>
  <c r="J38" i="27"/>
  <c r="M37" i="27"/>
  <c r="J37" i="27"/>
  <c r="M36" i="27"/>
  <c r="J36" i="27"/>
  <c r="M35" i="27"/>
  <c r="J35" i="27"/>
  <c r="M34" i="27"/>
  <c r="J34" i="27"/>
  <c r="M33" i="27"/>
  <c r="J33" i="27"/>
  <c r="M32" i="27"/>
  <c r="J32" i="27"/>
  <c r="M31" i="27"/>
  <c r="J31" i="27"/>
  <c r="M30" i="27"/>
  <c r="J30" i="27"/>
  <c r="M29" i="27"/>
  <c r="J29" i="27"/>
  <c r="M28" i="27"/>
  <c r="J28" i="27"/>
  <c r="M27" i="27"/>
  <c r="J27" i="27"/>
  <c r="M26" i="27"/>
  <c r="J26" i="27"/>
  <c r="M25" i="27"/>
  <c r="J25" i="27"/>
  <c r="M24" i="27"/>
  <c r="J24" i="27"/>
  <c r="M23" i="27"/>
  <c r="J23" i="27"/>
  <c r="M22" i="27"/>
  <c r="J22" i="27"/>
  <c r="M21" i="27"/>
  <c r="J21" i="27"/>
  <c r="M20" i="27"/>
  <c r="J20" i="27"/>
  <c r="M19" i="27"/>
  <c r="J19" i="27"/>
  <c r="M18" i="27"/>
  <c r="J18" i="27"/>
  <c r="M17" i="27"/>
  <c r="J17" i="27"/>
  <c r="M16" i="27"/>
  <c r="J16" i="27"/>
  <c r="M15" i="27"/>
  <c r="J15" i="27"/>
  <c r="M14" i="27"/>
  <c r="J14" i="27"/>
  <c r="M13" i="27"/>
  <c r="J13" i="27"/>
  <c r="M12" i="27"/>
  <c r="J12" i="27"/>
  <c r="M11" i="27"/>
  <c r="J11" i="27"/>
  <c r="M10" i="27"/>
  <c r="J10" i="27"/>
  <c r="M9" i="27"/>
  <c r="J9" i="27"/>
  <c r="M8" i="27"/>
  <c r="J8" i="27"/>
  <c r="M7" i="27"/>
  <c r="J7" i="27"/>
  <c r="M6" i="27"/>
  <c r="J6" i="27"/>
  <c r="M5" i="27"/>
  <c r="J5" i="27"/>
  <c r="M4" i="27"/>
  <c r="J4" i="27"/>
  <c r="M3" i="27"/>
  <c r="J3" i="27"/>
  <c r="M2" i="27"/>
  <c r="J2" i="27"/>
  <c r="X162" i="16"/>
  <c r="W162" i="16"/>
  <c r="X161" i="16"/>
  <c r="W161" i="16"/>
  <c r="X160" i="16"/>
  <c r="W160" i="16"/>
  <c r="X159" i="16"/>
  <c r="W159" i="16"/>
  <c r="AC159" i="16" s="1"/>
  <c r="X158" i="16"/>
  <c r="W158" i="16"/>
  <c r="X157" i="16"/>
  <c r="W157" i="16"/>
  <c r="X156" i="16"/>
  <c r="W156" i="16"/>
  <c r="X155" i="16"/>
  <c r="W155" i="16"/>
  <c r="AC155" i="16" s="1"/>
  <c r="X154" i="16"/>
  <c r="W154" i="16"/>
  <c r="X153" i="16"/>
  <c r="W153" i="16"/>
  <c r="X152" i="16"/>
  <c r="W152" i="16"/>
  <c r="X151" i="16"/>
  <c r="W151" i="16"/>
  <c r="AC151" i="16" s="1"/>
  <c r="AD79" i="17"/>
  <c r="X79" i="17"/>
  <c r="W79" i="17"/>
  <c r="AC79" i="17" s="1"/>
  <c r="AD78" i="17"/>
  <c r="X78" i="17"/>
  <c r="AC78" i="17" s="1"/>
  <c r="W78" i="17"/>
  <c r="AD77" i="17"/>
  <c r="X77" i="17"/>
  <c r="W77" i="17"/>
  <c r="AD76" i="17"/>
  <c r="X76" i="17"/>
  <c r="W76" i="17"/>
  <c r="AD75" i="17"/>
  <c r="AB75" i="17"/>
  <c r="X75" i="17"/>
  <c r="W75" i="17"/>
  <c r="AC75" i="17" s="1"/>
  <c r="AD74" i="17"/>
  <c r="AB74" i="17"/>
  <c r="X74" i="17"/>
  <c r="W74" i="17"/>
  <c r="AC74" i="17" s="1"/>
  <c r="AD73" i="17"/>
  <c r="AB73" i="17"/>
  <c r="X73" i="17"/>
  <c r="W73" i="17"/>
  <c r="AC73" i="17" s="1"/>
  <c r="AD72" i="17"/>
  <c r="AC72" i="17"/>
  <c r="X72" i="17"/>
  <c r="W72" i="17"/>
  <c r="AD71" i="17"/>
  <c r="X71" i="17"/>
  <c r="W71" i="17"/>
  <c r="AD70" i="17"/>
  <c r="X70" i="17"/>
  <c r="W70" i="17"/>
  <c r="AD69" i="17"/>
  <c r="X69" i="17"/>
  <c r="W69" i="17"/>
  <c r="AC69" i="17" s="1"/>
  <c r="AD68" i="17"/>
  <c r="AD11" i="27" s="1"/>
  <c r="X68" i="17"/>
  <c r="W68" i="17"/>
  <c r="AC68" i="17" s="1"/>
  <c r="M40" i="5"/>
  <c r="M39" i="5"/>
  <c r="M38" i="5"/>
  <c r="AJ9" i="17"/>
  <c r="AI9" i="17"/>
  <c r="AJ7" i="17"/>
  <c r="AI7" i="17"/>
  <c r="AJ4" i="17"/>
  <c r="AI4" i="17"/>
  <c r="AJ3" i="17"/>
  <c r="AI3" i="17"/>
  <c r="AJ2" i="17"/>
  <c r="AI2" i="17"/>
  <c r="AC3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4" i="17"/>
  <c r="AD10" i="27" s="1"/>
  <c r="AD43" i="17"/>
  <c r="AD42" i="17"/>
  <c r="AD41" i="17"/>
  <c r="AD40" i="17"/>
  <c r="AD39" i="17"/>
  <c r="AD38" i="17"/>
  <c r="AD37" i="17"/>
  <c r="AB37" i="17"/>
  <c r="AD36" i="17"/>
  <c r="AD35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B13" i="17"/>
  <c r="AD12" i="17"/>
  <c r="AD11" i="17"/>
  <c r="AD10" i="17"/>
  <c r="AD9" i="17"/>
  <c r="AD8" i="17"/>
  <c r="AD7" i="17"/>
  <c r="AD6" i="17"/>
  <c r="AD5" i="17"/>
  <c r="AD4" i="17"/>
  <c r="AD3" i="17"/>
  <c r="AD2" i="17"/>
  <c r="AD9" i="27" s="1"/>
  <c r="AV6" i="16"/>
  <c r="AQ6" i="16"/>
  <c r="AL6" i="16"/>
  <c r="V79" i="17"/>
  <c r="AB79" i="17" s="1"/>
  <c r="V78" i="17"/>
  <c r="AB78" i="17" s="1"/>
  <c r="V77" i="17"/>
  <c r="AB77" i="17" s="1"/>
  <c r="V76" i="17"/>
  <c r="AB76" i="17" s="1"/>
  <c r="V75" i="17"/>
  <c r="V74" i="17"/>
  <c r="V73" i="17"/>
  <c r="V72" i="17"/>
  <c r="AB72" i="17" s="1"/>
  <c r="V71" i="17"/>
  <c r="AB71" i="17" s="1"/>
  <c r="V70" i="17"/>
  <c r="AB70" i="17" s="1"/>
  <c r="V69" i="17"/>
  <c r="AB69" i="17" s="1"/>
  <c r="V68" i="17"/>
  <c r="AB68" i="17" s="1"/>
  <c r="X67" i="17"/>
  <c r="W67" i="17"/>
  <c r="V67" i="17"/>
  <c r="AB67" i="17" s="1"/>
  <c r="X66" i="17"/>
  <c r="W66" i="17"/>
  <c r="V66" i="17"/>
  <c r="AB66" i="17" s="1"/>
  <c r="X65" i="17"/>
  <c r="W65" i="17"/>
  <c r="V65" i="17"/>
  <c r="AB65" i="17" s="1"/>
  <c r="X64" i="17"/>
  <c r="W64" i="17"/>
  <c r="AC64" i="17" s="1"/>
  <c r="V64" i="17"/>
  <c r="AB64" i="17" s="1"/>
  <c r="X63" i="17"/>
  <c r="W63" i="17"/>
  <c r="V63" i="17"/>
  <c r="AB63" i="17" s="1"/>
  <c r="X62" i="17"/>
  <c r="W62" i="17"/>
  <c r="V62" i="17"/>
  <c r="AB62" i="17" s="1"/>
  <c r="X61" i="17"/>
  <c r="W61" i="17"/>
  <c r="V61" i="17"/>
  <c r="AB61" i="17" s="1"/>
  <c r="X60" i="17"/>
  <c r="W60" i="17"/>
  <c r="AC60" i="17" s="1"/>
  <c r="V60" i="17"/>
  <c r="AB60" i="17" s="1"/>
  <c r="X59" i="17"/>
  <c r="W59" i="17"/>
  <c r="V59" i="17"/>
  <c r="AB59" i="17" s="1"/>
  <c r="X58" i="17"/>
  <c r="W58" i="17"/>
  <c r="V58" i="17"/>
  <c r="AB58" i="17" s="1"/>
  <c r="X57" i="17"/>
  <c r="W57" i="17"/>
  <c r="V57" i="17"/>
  <c r="AB57" i="17" s="1"/>
  <c r="X56" i="17"/>
  <c r="W56" i="17"/>
  <c r="AC56" i="17" s="1"/>
  <c r="V56" i="17"/>
  <c r="AB56" i="17" s="1"/>
  <c r="X55" i="17"/>
  <c r="W55" i="17"/>
  <c r="V55" i="17"/>
  <c r="AB55" i="17" s="1"/>
  <c r="X54" i="17"/>
  <c r="W54" i="17"/>
  <c r="V54" i="17"/>
  <c r="AB54" i="17" s="1"/>
  <c r="X53" i="17"/>
  <c r="W53" i="17"/>
  <c r="V53" i="17"/>
  <c r="AB53" i="17" s="1"/>
  <c r="X52" i="17"/>
  <c r="W52" i="17"/>
  <c r="AC52" i="17" s="1"/>
  <c r="V52" i="17"/>
  <c r="AB52" i="17" s="1"/>
  <c r="X51" i="17"/>
  <c r="W51" i="17"/>
  <c r="V51" i="17"/>
  <c r="AB51" i="17" s="1"/>
  <c r="X50" i="17"/>
  <c r="W50" i="17"/>
  <c r="V50" i="17"/>
  <c r="AB50" i="17" s="1"/>
  <c r="X49" i="17"/>
  <c r="AC49" i="17" s="1"/>
  <c r="W49" i="17"/>
  <c r="V49" i="17"/>
  <c r="AB49" i="17" s="1"/>
  <c r="X48" i="17"/>
  <c r="W48" i="17"/>
  <c r="AC48" i="17" s="1"/>
  <c r="V48" i="17"/>
  <c r="AB48" i="17" s="1"/>
  <c r="X47" i="17"/>
  <c r="W47" i="17"/>
  <c r="V47" i="17"/>
  <c r="AB47" i="17" s="1"/>
  <c r="X46" i="17"/>
  <c r="W46" i="17"/>
  <c r="V46" i="17"/>
  <c r="AB46" i="17" s="1"/>
  <c r="X45" i="17"/>
  <c r="W45" i="17"/>
  <c r="V45" i="17"/>
  <c r="AB45" i="17" s="1"/>
  <c r="X44" i="17"/>
  <c r="W44" i="17"/>
  <c r="AC44" i="17" s="1"/>
  <c r="V44" i="17"/>
  <c r="AB44" i="17" s="1"/>
  <c r="X43" i="17"/>
  <c r="W43" i="17"/>
  <c r="V43" i="17"/>
  <c r="AB43" i="17" s="1"/>
  <c r="X42" i="17"/>
  <c r="W42" i="17"/>
  <c r="V42" i="17"/>
  <c r="AB42" i="17" s="1"/>
  <c r="X41" i="17"/>
  <c r="W41" i="17"/>
  <c r="V41" i="17"/>
  <c r="AB41" i="17" s="1"/>
  <c r="X40" i="17"/>
  <c r="W40" i="17"/>
  <c r="V40" i="17"/>
  <c r="AB40" i="17" s="1"/>
  <c r="X39" i="17"/>
  <c r="W39" i="17"/>
  <c r="V39" i="17"/>
  <c r="AB39" i="17" s="1"/>
  <c r="X38" i="17"/>
  <c r="W38" i="17"/>
  <c r="V38" i="17"/>
  <c r="AB38" i="17" s="1"/>
  <c r="X37" i="17"/>
  <c r="W37" i="17"/>
  <c r="V37" i="17"/>
  <c r="X36" i="17"/>
  <c r="W36" i="17"/>
  <c r="V36" i="17"/>
  <c r="AB36" i="17" s="1"/>
  <c r="X35" i="17"/>
  <c r="W35" i="17"/>
  <c r="V35" i="17"/>
  <c r="AB35" i="17" s="1"/>
  <c r="X34" i="17"/>
  <c r="W34" i="17"/>
  <c r="V34" i="17"/>
  <c r="AB34" i="17" s="1"/>
  <c r="X33" i="17"/>
  <c r="AC14" i="17" s="1"/>
  <c r="W33" i="17"/>
  <c r="V33" i="17"/>
  <c r="AB33" i="17" s="1"/>
  <c r="X32" i="17"/>
  <c r="W32" i="17"/>
  <c r="AC32" i="17" s="1"/>
  <c r="V32" i="17"/>
  <c r="AB32" i="17" s="1"/>
  <c r="X31" i="17"/>
  <c r="W31" i="17"/>
  <c r="V31" i="17"/>
  <c r="AB31" i="17" s="1"/>
  <c r="X30" i="17"/>
  <c r="W30" i="17"/>
  <c r="V30" i="17"/>
  <c r="AB30" i="17" s="1"/>
  <c r="X29" i="17"/>
  <c r="W29" i="17"/>
  <c r="V29" i="17"/>
  <c r="AB29" i="17" s="1"/>
  <c r="X28" i="17"/>
  <c r="W28" i="17"/>
  <c r="AC28" i="17" s="1"/>
  <c r="V28" i="17"/>
  <c r="AB28" i="17" s="1"/>
  <c r="X27" i="17"/>
  <c r="W27" i="17"/>
  <c r="V27" i="17"/>
  <c r="AB27" i="17" s="1"/>
  <c r="X26" i="17"/>
  <c r="W26" i="17"/>
  <c r="V26" i="17"/>
  <c r="AB26" i="17" s="1"/>
  <c r="X25" i="17"/>
  <c r="W25" i="17"/>
  <c r="V25" i="17"/>
  <c r="AB25" i="17" s="1"/>
  <c r="X24" i="17"/>
  <c r="W24" i="17"/>
  <c r="AC24" i="17" s="1"/>
  <c r="V24" i="17"/>
  <c r="AB24" i="17" s="1"/>
  <c r="X23" i="17"/>
  <c r="W23" i="17"/>
  <c r="V23" i="17"/>
  <c r="AB23" i="17" s="1"/>
  <c r="X22" i="17"/>
  <c r="W22" i="17"/>
  <c r="V22" i="17"/>
  <c r="AB22" i="17" s="1"/>
  <c r="X21" i="17"/>
  <c r="W21" i="17"/>
  <c r="V21" i="17"/>
  <c r="AB21" i="17" s="1"/>
  <c r="X20" i="17"/>
  <c r="W20" i="17"/>
  <c r="AC20" i="17" s="1"/>
  <c r="V20" i="17"/>
  <c r="AB20" i="17" s="1"/>
  <c r="X19" i="17"/>
  <c r="W19" i="17"/>
  <c r="V19" i="17"/>
  <c r="AB19" i="17" s="1"/>
  <c r="X18" i="17"/>
  <c r="W18" i="17"/>
  <c r="V18" i="17"/>
  <c r="AB18" i="17" s="1"/>
  <c r="X17" i="17"/>
  <c r="W17" i="17"/>
  <c r="V17" i="17"/>
  <c r="AB17" i="17" s="1"/>
  <c r="X16" i="17"/>
  <c r="W16" i="17"/>
  <c r="AC16" i="17" s="1"/>
  <c r="V16" i="17"/>
  <c r="AB16" i="17" s="1"/>
  <c r="X15" i="17"/>
  <c r="W15" i="17"/>
  <c r="V15" i="17"/>
  <c r="AB15" i="17" s="1"/>
  <c r="X14" i="17"/>
  <c r="W14" i="17"/>
  <c r="V14" i="17"/>
  <c r="AB14" i="17" s="1"/>
  <c r="X13" i="17"/>
  <c r="W13" i="17"/>
  <c r="V13" i="17"/>
  <c r="X12" i="17"/>
  <c r="W12" i="17"/>
  <c r="AC12" i="17" s="1"/>
  <c r="V12" i="17"/>
  <c r="AB12" i="17" s="1"/>
  <c r="X11" i="17"/>
  <c r="W11" i="17"/>
  <c r="V11" i="17"/>
  <c r="AB11" i="17" s="1"/>
  <c r="X10" i="17"/>
  <c r="W10" i="17"/>
  <c r="V10" i="17"/>
  <c r="AB10" i="17" s="1"/>
  <c r="X9" i="17"/>
  <c r="W9" i="17"/>
  <c r="V9" i="17"/>
  <c r="AB9" i="17" s="1"/>
  <c r="X8" i="17"/>
  <c r="W8" i="17"/>
  <c r="AC8" i="17" s="1"/>
  <c r="V8" i="17"/>
  <c r="AB8" i="17" s="1"/>
  <c r="X7" i="17"/>
  <c r="W7" i="17"/>
  <c r="V7" i="17"/>
  <c r="AB7" i="17" s="1"/>
  <c r="X6" i="17"/>
  <c r="W6" i="17"/>
  <c r="V6" i="17"/>
  <c r="AB6" i="17" s="1"/>
  <c r="X5" i="17"/>
  <c r="W5" i="17"/>
  <c r="V5" i="17"/>
  <c r="AB5" i="17" s="1"/>
  <c r="X4" i="17"/>
  <c r="W4" i="17"/>
  <c r="AC4" i="17" s="1"/>
  <c r="V4" i="17"/>
  <c r="AB4" i="17" s="1"/>
  <c r="X3" i="17"/>
  <c r="W3" i="17"/>
  <c r="V3" i="17"/>
  <c r="AB3" i="17" s="1"/>
  <c r="X2" i="17"/>
  <c r="W2" i="17"/>
  <c r="AC2" i="17" s="1"/>
  <c r="V2" i="17"/>
  <c r="AB2" i="17" s="1"/>
  <c r="AE174" i="16"/>
  <c r="AE173" i="16"/>
  <c r="AE172" i="16"/>
  <c r="AC172" i="16"/>
  <c r="AE171" i="16"/>
  <c r="AE170" i="16"/>
  <c r="AE169" i="16"/>
  <c r="AE168" i="16"/>
  <c r="AE167" i="16"/>
  <c r="AE166" i="16"/>
  <c r="AE165" i="16"/>
  <c r="AE164" i="16"/>
  <c r="AE163" i="16"/>
  <c r="AE162" i="16"/>
  <c r="AD162" i="16"/>
  <c r="AC162" i="16"/>
  <c r="AE161" i="16"/>
  <c r="AD161" i="16"/>
  <c r="AC161" i="16"/>
  <c r="AE160" i="16"/>
  <c r="AD160" i="16"/>
  <c r="AC160" i="16"/>
  <c r="AE159" i="16"/>
  <c r="AD159" i="16"/>
  <c r="AE158" i="16"/>
  <c r="AD158" i="16"/>
  <c r="AC158" i="16"/>
  <c r="AE157" i="16"/>
  <c r="AD157" i="16"/>
  <c r="AC157" i="16"/>
  <c r="AE156" i="16"/>
  <c r="AD156" i="16"/>
  <c r="AC156" i="16"/>
  <c r="AE155" i="16"/>
  <c r="AD155" i="16"/>
  <c r="AE154" i="16"/>
  <c r="AD154" i="16"/>
  <c r="AC154" i="16"/>
  <c r="AE153" i="16"/>
  <c r="AD153" i="16"/>
  <c r="AC153" i="16"/>
  <c r="AE152" i="16"/>
  <c r="AD152" i="16"/>
  <c r="AC152" i="16"/>
  <c r="AE151" i="16"/>
  <c r="AD151" i="16"/>
  <c r="AE150" i="16"/>
  <c r="AE149" i="16"/>
  <c r="AE148" i="16"/>
  <c r="AE147" i="16"/>
  <c r="AE146" i="16"/>
  <c r="AE145" i="16"/>
  <c r="AE144" i="16"/>
  <c r="AE143" i="16"/>
  <c r="AE142" i="16"/>
  <c r="AE141" i="16"/>
  <c r="AE140" i="16"/>
  <c r="AE139" i="16"/>
  <c r="AE138" i="16"/>
  <c r="AE137" i="16"/>
  <c r="AE136" i="16"/>
  <c r="AE135" i="16"/>
  <c r="AE134" i="16"/>
  <c r="AE133" i="16"/>
  <c r="AE132" i="16"/>
  <c r="AE131" i="16"/>
  <c r="AE130" i="16"/>
  <c r="AE129" i="16"/>
  <c r="AE128" i="16"/>
  <c r="AE127" i="16"/>
  <c r="AE126" i="16"/>
  <c r="AE125" i="16"/>
  <c r="AE124" i="16"/>
  <c r="AE123" i="16"/>
  <c r="AE122" i="16"/>
  <c r="AE121" i="16"/>
  <c r="AE120" i="16"/>
  <c r="AE119" i="16"/>
  <c r="AE118" i="16"/>
  <c r="AE117" i="16"/>
  <c r="AE116" i="16"/>
  <c r="AE115" i="16"/>
  <c r="AE114" i="16"/>
  <c r="AE113" i="16"/>
  <c r="AE112" i="16"/>
  <c r="AE111" i="16"/>
  <c r="AE110" i="16"/>
  <c r="AE109" i="16"/>
  <c r="AE108" i="16"/>
  <c r="AE107" i="16"/>
  <c r="AE106" i="16"/>
  <c r="AE105" i="16"/>
  <c r="AE104" i="16"/>
  <c r="AE103" i="16"/>
  <c r="AE102" i="16"/>
  <c r="AE101" i="16"/>
  <c r="AE100" i="16"/>
  <c r="AE99" i="16"/>
  <c r="AE98" i="16"/>
  <c r="AE97" i="16"/>
  <c r="AE96" i="16"/>
  <c r="AE95" i="16"/>
  <c r="AE94" i="16"/>
  <c r="AE93" i="16"/>
  <c r="AE92" i="16"/>
  <c r="AE91" i="16"/>
  <c r="AE90" i="16"/>
  <c r="AE89" i="16"/>
  <c r="AE88" i="16"/>
  <c r="AE87" i="16"/>
  <c r="AE86" i="16"/>
  <c r="AE85" i="16"/>
  <c r="AE84" i="16"/>
  <c r="AE83" i="16"/>
  <c r="AE82" i="16"/>
  <c r="AE81" i="16"/>
  <c r="AE80" i="16"/>
  <c r="AE79" i="16"/>
  <c r="AE78" i="16"/>
  <c r="AE77" i="16"/>
  <c r="AE76" i="16"/>
  <c r="AE75" i="16"/>
  <c r="AE74" i="16"/>
  <c r="AE73" i="16"/>
  <c r="AE72" i="16"/>
  <c r="AE71" i="16"/>
  <c r="AE70" i="16"/>
  <c r="AE69" i="16"/>
  <c r="AE68" i="16"/>
  <c r="AE67" i="16"/>
  <c r="AA10" i="27" s="1"/>
  <c r="AE66" i="16"/>
  <c r="AE65" i="16"/>
  <c r="AE64" i="16"/>
  <c r="AE63" i="16"/>
  <c r="AE62" i="16"/>
  <c r="AE61" i="16"/>
  <c r="AE60" i="16"/>
  <c r="AE59" i="16"/>
  <c r="AE58" i="16"/>
  <c r="AE57" i="16"/>
  <c r="AE56" i="16"/>
  <c r="AE55" i="16"/>
  <c r="AE54" i="16"/>
  <c r="AE53" i="16"/>
  <c r="AE52" i="16"/>
  <c r="AE51" i="16"/>
  <c r="AE50" i="16"/>
  <c r="AE49" i="16"/>
  <c r="AE48" i="16"/>
  <c r="AE47" i="16"/>
  <c r="AE46" i="16"/>
  <c r="AE45" i="16"/>
  <c r="AE44" i="16"/>
  <c r="AE43" i="16"/>
  <c r="AE42" i="16"/>
  <c r="AE41" i="16"/>
  <c r="AE40" i="16"/>
  <c r="AE39" i="16"/>
  <c r="AE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AE25" i="16"/>
  <c r="AE24" i="16"/>
  <c r="AE23" i="16"/>
  <c r="AE22" i="16"/>
  <c r="AE21" i="16"/>
  <c r="AE20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E2" i="16"/>
  <c r="AA9" i="27" s="1"/>
  <c r="X174" i="16"/>
  <c r="AD174" i="16" s="1"/>
  <c r="W174" i="16"/>
  <c r="AC174" i="16" s="1"/>
  <c r="V174" i="16"/>
  <c r="AB174" i="16" s="1"/>
  <c r="X173" i="16"/>
  <c r="AD173" i="16" s="1"/>
  <c r="W173" i="16"/>
  <c r="AC173" i="16" s="1"/>
  <c r="V173" i="16"/>
  <c r="AB173" i="16" s="1"/>
  <c r="X172" i="16"/>
  <c r="AD172" i="16" s="1"/>
  <c r="W172" i="16"/>
  <c r="V172" i="16"/>
  <c r="AB172" i="16" s="1"/>
  <c r="X171" i="16"/>
  <c r="AD171" i="16" s="1"/>
  <c r="W171" i="16"/>
  <c r="AC171" i="16" s="1"/>
  <c r="V171" i="16"/>
  <c r="AB171" i="16" s="1"/>
  <c r="X170" i="16"/>
  <c r="AD170" i="16" s="1"/>
  <c r="W170" i="16"/>
  <c r="AC170" i="16" s="1"/>
  <c r="V170" i="16"/>
  <c r="AB170" i="16" s="1"/>
  <c r="X169" i="16"/>
  <c r="AD169" i="16" s="1"/>
  <c r="W169" i="16"/>
  <c r="AC169" i="16" s="1"/>
  <c r="V169" i="16"/>
  <c r="AB169" i="16" s="1"/>
  <c r="X168" i="16"/>
  <c r="AD168" i="16" s="1"/>
  <c r="W168" i="16"/>
  <c r="AC168" i="16" s="1"/>
  <c r="V168" i="16"/>
  <c r="AB168" i="16" s="1"/>
  <c r="X167" i="16"/>
  <c r="AD167" i="16" s="1"/>
  <c r="W167" i="16"/>
  <c r="AC167" i="16" s="1"/>
  <c r="V167" i="16"/>
  <c r="AB167" i="16" s="1"/>
  <c r="X166" i="16"/>
  <c r="AD166" i="16" s="1"/>
  <c r="W166" i="16"/>
  <c r="AC166" i="16" s="1"/>
  <c r="V166" i="16"/>
  <c r="AB166" i="16" s="1"/>
  <c r="X165" i="16"/>
  <c r="AD165" i="16" s="1"/>
  <c r="W165" i="16"/>
  <c r="AC165" i="16" s="1"/>
  <c r="V165" i="16"/>
  <c r="AB165" i="16" s="1"/>
  <c r="X164" i="16"/>
  <c r="AD164" i="16" s="1"/>
  <c r="W164" i="16"/>
  <c r="AC164" i="16" s="1"/>
  <c r="V164" i="16"/>
  <c r="AB164" i="16" s="1"/>
  <c r="X163" i="16"/>
  <c r="AD163" i="16" s="1"/>
  <c r="W163" i="16"/>
  <c r="AC163" i="16" s="1"/>
  <c r="V163" i="16"/>
  <c r="AB163" i="16" s="1"/>
  <c r="V162" i="16"/>
  <c r="AB162" i="16" s="1"/>
  <c r="V161" i="16"/>
  <c r="AB161" i="16" s="1"/>
  <c r="V160" i="16"/>
  <c r="AB160" i="16" s="1"/>
  <c r="V159" i="16"/>
  <c r="AB159" i="16" s="1"/>
  <c r="V158" i="16"/>
  <c r="AB158" i="16" s="1"/>
  <c r="V157" i="16"/>
  <c r="AB157" i="16" s="1"/>
  <c r="V156" i="16"/>
  <c r="AB156" i="16" s="1"/>
  <c r="V155" i="16"/>
  <c r="AB155" i="16" s="1"/>
  <c r="V154" i="16"/>
  <c r="AB154" i="16" s="1"/>
  <c r="V153" i="16"/>
  <c r="AB153" i="16" s="1"/>
  <c r="V152" i="16"/>
  <c r="AB152" i="16" s="1"/>
  <c r="V151" i="16"/>
  <c r="AB151" i="16" s="1"/>
  <c r="X150" i="16"/>
  <c r="AD150" i="16" s="1"/>
  <c r="W150" i="16"/>
  <c r="AC150" i="16" s="1"/>
  <c r="V150" i="16"/>
  <c r="AB150" i="16" s="1"/>
  <c r="X149" i="16"/>
  <c r="AD149" i="16" s="1"/>
  <c r="W149" i="16"/>
  <c r="AC149" i="16" s="1"/>
  <c r="V149" i="16"/>
  <c r="AB149" i="16" s="1"/>
  <c r="X148" i="16"/>
  <c r="AD148" i="16" s="1"/>
  <c r="W148" i="16"/>
  <c r="AC148" i="16" s="1"/>
  <c r="V148" i="16"/>
  <c r="AB148" i="16" s="1"/>
  <c r="X147" i="16"/>
  <c r="AD147" i="16" s="1"/>
  <c r="W147" i="16"/>
  <c r="AC147" i="16" s="1"/>
  <c r="V147" i="16"/>
  <c r="AB147" i="16" s="1"/>
  <c r="X146" i="16"/>
  <c r="AD146" i="16" s="1"/>
  <c r="W146" i="16"/>
  <c r="AC146" i="16" s="1"/>
  <c r="V146" i="16"/>
  <c r="AB146" i="16" s="1"/>
  <c r="X145" i="16"/>
  <c r="AD145" i="16" s="1"/>
  <c r="W145" i="16"/>
  <c r="AC145" i="16" s="1"/>
  <c r="V145" i="16"/>
  <c r="AB145" i="16" s="1"/>
  <c r="X144" i="16"/>
  <c r="AD144" i="16" s="1"/>
  <c r="W144" i="16"/>
  <c r="AC144" i="16" s="1"/>
  <c r="V144" i="16"/>
  <c r="AB144" i="16" s="1"/>
  <c r="X143" i="16"/>
  <c r="AD143" i="16" s="1"/>
  <c r="W143" i="16"/>
  <c r="AC143" i="16" s="1"/>
  <c r="V143" i="16"/>
  <c r="AB143" i="16" s="1"/>
  <c r="X142" i="16"/>
  <c r="AD142" i="16" s="1"/>
  <c r="W142" i="16"/>
  <c r="AC142" i="16" s="1"/>
  <c r="V142" i="16"/>
  <c r="AB142" i="16" s="1"/>
  <c r="X141" i="16"/>
  <c r="AD141" i="16" s="1"/>
  <c r="W141" i="16"/>
  <c r="AC141" i="16" s="1"/>
  <c r="V141" i="16"/>
  <c r="AB141" i="16" s="1"/>
  <c r="X140" i="16"/>
  <c r="AD140" i="16" s="1"/>
  <c r="W140" i="16"/>
  <c r="AC140" i="16" s="1"/>
  <c r="V140" i="16"/>
  <c r="AB140" i="16" s="1"/>
  <c r="X139" i="16"/>
  <c r="AD139" i="16" s="1"/>
  <c r="W139" i="16"/>
  <c r="AC139" i="16" s="1"/>
  <c r="V139" i="16"/>
  <c r="AB139" i="16" s="1"/>
  <c r="X138" i="16"/>
  <c r="AD138" i="16" s="1"/>
  <c r="W138" i="16"/>
  <c r="AC138" i="16" s="1"/>
  <c r="V138" i="16"/>
  <c r="AB138" i="16" s="1"/>
  <c r="X137" i="16"/>
  <c r="AD137" i="16" s="1"/>
  <c r="W137" i="16"/>
  <c r="AC137" i="16" s="1"/>
  <c r="V137" i="16"/>
  <c r="AB137" i="16" s="1"/>
  <c r="X136" i="16"/>
  <c r="AD136" i="16" s="1"/>
  <c r="W136" i="16"/>
  <c r="AC136" i="16" s="1"/>
  <c r="V136" i="16"/>
  <c r="AB136" i="16" s="1"/>
  <c r="X135" i="16"/>
  <c r="AD135" i="16" s="1"/>
  <c r="W135" i="16"/>
  <c r="AC135" i="16" s="1"/>
  <c r="V135" i="16"/>
  <c r="AB135" i="16" s="1"/>
  <c r="X134" i="16"/>
  <c r="AD134" i="16" s="1"/>
  <c r="W134" i="16"/>
  <c r="AC134" i="16" s="1"/>
  <c r="V134" i="16"/>
  <c r="AB134" i="16" s="1"/>
  <c r="X133" i="16"/>
  <c r="AD133" i="16" s="1"/>
  <c r="W133" i="16"/>
  <c r="AC133" i="16" s="1"/>
  <c r="V133" i="16"/>
  <c r="AB133" i="16" s="1"/>
  <c r="X132" i="16"/>
  <c r="AD132" i="16" s="1"/>
  <c r="W132" i="16"/>
  <c r="AC132" i="16" s="1"/>
  <c r="V132" i="16"/>
  <c r="AB132" i="16" s="1"/>
  <c r="X131" i="16"/>
  <c r="AD131" i="16" s="1"/>
  <c r="W131" i="16"/>
  <c r="AC131" i="16" s="1"/>
  <c r="V131" i="16"/>
  <c r="AB131" i="16" s="1"/>
  <c r="X130" i="16"/>
  <c r="AD130" i="16" s="1"/>
  <c r="W130" i="16"/>
  <c r="AC130" i="16" s="1"/>
  <c r="V130" i="16"/>
  <c r="AB130" i="16" s="1"/>
  <c r="X129" i="16"/>
  <c r="AD129" i="16" s="1"/>
  <c r="W129" i="16"/>
  <c r="AC129" i="16" s="1"/>
  <c r="V129" i="16"/>
  <c r="AB129" i="16" s="1"/>
  <c r="X128" i="16"/>
  <c r="AD128" i="16" s="1"/>
  <c r="W128" i="16"/>
  <c r="AC128" i="16" s="1"/>
  <c r="V128" i="16"/>
  <c r="AB128" i="16" s="1"/>
  <c r="X127" i="16"/>
  <c r="AD127" i="16" s="1"/>
  <c r="W127" i="16"/>
  <c r="AC127" i="16" s="1"/>
  <c r="V127" i="16"/>
  <c r="AB127" i="16" s="1"/>
  <c r="X126" i="16"/>
  <c r="AD126" i="16" s="1"/>
  <c r="W126" i="16"/>
  <c r="AC126" i="16" s="1"/>
  <c r="V126" i="16"/>
  <c r="AB126" i="16" s="1"/>
  <c r="X125" i="16"/>
  <c r="AD125" i="16" s="1"/>
  <c r="W125" i="16"/>
  <c r="AC125" i="16" s="1"/>
  <c r="V125" i="16"/>
  <c r="AB125" i="16" s="1"/>
  <c r="X124" i="16"/>
  <c r="AD124" i="16" s="1"/>
  <c r="W124" i="16"/>
  <c r="AC124" i="16" s="1"/>
  <c r="V124" i="16"/>
  <c r="AB124" i="16" s="1"/>
  <c r="X123" i="16"/>
  <c r="AD123" i="16" s="1"/>
  <c r="W123" i="16"/>
  <c r="AC123" i="16" s="1"/>
  <c r="V123" i="16"/>
  <c r="AB123" i="16" s="1"/>
  <c r="X122" i="16"/>
  <c r="AD122" i="16" s="1"/>
  <c r="W122" i="16"/>
  <c r="AC122" i="16" s="1"/>
  <c r="V122" i="16"/>
  <c r="AB122" i="16" s="1"/>
  <c r="X121" i="16"/>
  <c r="AD121" i="16" s="1"/>
  <c r="W121" i="16"/>
  <c r="AC121" i="16" s="1"/>
  <c r="V121" i="16"/>
  <c r="AB121" i="16" s="1"/>
  <c r="X120" i="16"/>
  <c r="AD120" i="16" s="1"/>
  <c r="W120" i="16"/>
  <c r="AC120" i="16" s="1"/>
  <c r="V120" i="16"/>
  <c r="AB120" i="16" s="1"/>
  <c r="X119" i="16"/>
  <c r="AD119" i="16" s="1"/>
  <c r="W119" i="16"/>
  <c r="AC119" i="16" s="1"/>
  <c r="V119" i="16"/>
  <c r="AB119" i="16" s="1"/>
  <c r="X118" i="16"/>
  <c r="AD118" i="16" s="1"/>
  <c r="W118" i="16"/>
  <c r="AC118" i="16" s="1"/>
  <c r="V118" i="16"/>
  <c r="AB118" i="16" s="1"/>
  <c r="X117" i="16"/>
  <c r="AD117" i="16" s="1"/>
  <c r="W117" i="16"/>
  <c r="AC117" i="16" s="1"/>
  <c r="V117" i="16"/>
  <c r="AB117" i="16" s="1"/>
  <c r="X116" i="16"/>
  <c r="AD116" i="16" s="1"/>
  <c r="W116" i="16"/>
  <c r="AC116" i="16" s="1"/>
  <c r="V116" i="16"/>
  <c r="AB116" i="16" s="1"/>
  <c r="X115" i="16"/>
  <c r="AD115" i="16" s="1"/>
  <c r="W115" i="16"/>
  <c r="AC115" i="16" s="1"/>
  <c r="V115" i="16"/>
  <c r="AB115" i="16" s="1"/>
  <c r="X114" i="16"/>
  <c r="AD114" i="16" s="1"/>
  <c r="W114" i="16"/>
  <c r="AC114" i="16" s="1"/>
  <c r="V114" i="16"/>
  <c r="AB114" i="16" s="1"/>
  <c r="X113" i="16"/>
  <c r="AD113" i="16" s="1"/>
  <c r="W113" i="16"/>
  <c r="AC113" i="16" s="1"/>
  <c r="V113" i="16"/>
  <c r="AB113" i="16" s="1"/>
  <c r="X112" i="16"/>
  <c r="AD112" i="16" s="1"/>
  <c r="W112" i="16"/>
  <c r="AC112" i="16" s="1"/>
  <c r="V112" i="16"/>
  <c r="AB112" i="16" s="1"/>
  <c r="X111" i="16"/>
  <c r="AD111" i="16" s="1"/>
  <c r="W111" i="16"/>
  <c r="AC111" i="16" s="1"/>
  <c r="V111" i="16"/>
  <c r="AB111" i="16" s="1"/>
  <c r="X110" i="16"/>
  <c r="AD110" i="16" s="1"/>
  <c r="W110" i="16"/>
  <c r="AC110" i="16" s="1"/>
  <c r="V110" i="16"/>
  <c r="AB110" i="16" s="1"/>
  <c r="X109" i="16"/>
  <c r="AD109" i="16" s="1"/>
  <c r="W109" i="16"/>
  <c r="AC109" i="16" s="1"/>
  <c r="V109" i="16"/>
  <c r="AB109" i="16" s="1"/>
  <c r="X108" i="16"/>
  <c r="AD108" i="16" s="1"/>
  <c r="W108" i="16"/>
  <c r="AC108" i="16" s="1"/>
  <c r="V108" i="16"/>
  <c r="AB108" i="16" s="1"/>
  <c r="X107" i="16"/>
  <c r="AD107" i="16" s="1"/>
  <c r="W107" i="16"/>
  <c r="AC107" i="16" s="1"/>
  <c r="V107" i="16"/>
  <c r="AB107" i="16" s="1"/>
  <c r="X106" i="16"/>
  <c r="AD106" i="16" s="1"/>
  <c r="W106" i="16"/>
  <c r="AC106" i="16" s="1"/>
  <c r="V106" i="16"/>
  <c r="AB106" i="16" s="1"/>
  <c r="X105" i="16"/>
  <c r="AD105" i="16" s="1"/>
  <c r="W105" i="16"/>
  <c r="AC105" i="16" s="1"/>
  <c r="V105" i="16"/>
  <c r="AB105" i="16" s="1"/>
  <c r="X104" i="16"/>
  <c r="AD104" i="16" s="1"/>
  <c r="W104" i="16"/>
  <c r="AC104" i="16" s="1"/>
  <c r="V104" i="16"/>
  <c r="AB104" i="16" s="1"/>
  <c r="X103" i="16"/>
  <c r="AD103" i="16" s="1"/>
  <c r="W103" i="16"/>
  <c r="AC103" i="16" s="1"/>
  <c r="V103" i="16"/>
  <c r="AB103" i="16" s="1"/>
  <c r="X102" i="16"/>
  <c r="AD102" i="16" s="1"/>
  <c r="W102" i="16"/>
  <c r="AC102" i="16" s="1"/>
  <c r="V102" i="16"/>
  <c r="AB102" i="16" s="1"/>
  <c r="X101" i="16"/>
  <c r="AD101" i="16" s="1"/>
  <c r="W101" i="16"/>
  <c r="AC101" i="16" s="1"/>
  <c r="V101" i="16"/>
  <c r="AB101" i="16" s="1"/>
  <c r="X100" i="16"/>
  <c r="AD100" i="16" s="1"/>
  <c r="W100" i="16"/>
  <c r="AC100" i="16" s="1"/>
  <c r="V100" i="16"/>
  <c r="AB100" i="16" s="1"/>
  <c r="X99" i="16"/>
  <c r="AD99" i="16" s="1"/>
  <c r="W99" i="16"/>
  <c r="AC99" i="16" s="1"/>
  <c r="V99" i="16"/>
  <c r="AB99" i="16" s="1"/>
  <c r="X98" i="16"/>
  <c r="AD98" i="16" s="1"/>
  <c r="W98" i="16"/>
  <c r="AC98" i="16" s="1"/>
  <c r="V98" i="16"/>
  <c r="AB98" i="16" s="1"/>
  <c r="X97" i="16"/>
  <c r="AD97" i="16" s="1"/>
  <c r="W97" i="16"/>
  <c r="AC97" i="16" s="1"/>
  <c r="V97" i="16"/>
  <c r="AB97" i="16" s="1"/>
  <c r="X96" i="16"/>
  <c r="AD96" i="16" s="1"/>
  <c r="W96" i="16"/>
  <c r="AC96" i="16" s="1"/>
  <c r="V96" i="16"/>
  <c r="AB96" i="16" s="1"/>
  <c r="X95" i="16"/>
  <c r="AD95" i="16" s="1"/>
  <c r="W95" i="16"/>
  <c r="AC95" i="16" s="1"/>
  <c r="V95" i="16"/>
  <c r="AB95" i="16" s="1"/>
  <c r="X94" i="16"/>
  <c r="AD94" i="16" s="1"/>
  <c r="W94" i="16"/>
  <c r="AC94" i="16" s="1"/>
  <c r="V94" i="16"/>
  <c r="AB94" i="16" s="1"/>
  <c r="X93" i="16"/>
  <c r="AD93" i="16" s="1"/>
  <c r="W93" i="16"/>
  <c r="AC93" i="16" s="1"/>
  <c r="V93" i="16"/>
  <c r="AB93" i="16" s="1"/>
  <c r="X92" i="16"/>
  <c r="AD92" i="16" s="1"/>
  <c r="W92" i="16"/>
  <c r="AC92" i="16" s="1"/>
  <c r="V92" i="16"/>
  <c r="AB92" i="16" s="1"/>
  <c r="X91" i="16"/>
  <c r="AD91" i="16" s="1"/>
  <c r="W91" i="16"/>
  <c r="AC91" i="16" s="1"/>
  <c r="V91" i="16"/>
  <c r="AB91" i="16" s="1"/>
  <c r="X90" i="16"/>
  <c r="AD90" i="16" s="1"/>
  <c r="W90" i="16"/>
  <c r="AC90" i="16" s="1"/>
  <c r="V90" i="16"/>
  <c r="AB90" i="16" s="1"/>
  <c r="X89" i="16"/>
  <c r="AD89" i="16" s="1"/>
  <c r="W89" i="16"/>
  <c r="AC89" i="16" s="1"/>
  <c r="V89" i="16"/>
  <c r="AB89" i="16" s="1"/>
  <c r="X88" i="16"/>
  <c r="AD88" i="16" s="1"/>
  <c r="W88" i="16"/>
  <c r="AC88" i="16" s="1"/>
  <c r="V88" i="16"/>
  <c r="AB88" i="16" s="1"/>
  <c r="X87" i="16"/>
  <c r="AD87" i="16" s="1"/>
  <c r="W87" i="16"/>
  <c r="AC87" i="16" s="1"/>
  <c r="V87" i="16"/>
  <c r="AB87" i="16" s="1"/>
  <c r="X86" i="16"/>
  <c r="AD86" i="16" s="1"/>
  <c r="W86" i="16"/>
  <c r="AC86" i="16" s="1"/>
  <c r="V86" i="16"/>
  <c r="AB86" i="16" s="1"/>
  <c r="X85" i="16"/>
  <c r="AD85" i="16" s="1"/>
  <c r="W85" i="16"/>
  <c r="AC85" i="16" s="1"/>
  <c r="V85" i="16"/>
  <c r="AB85" i="16" s="1"/>
  <c r="X84" i="16"/>
  <c r="AD84" i="16" s="1"/>
  <c r="W84" i="16"/>
  <c r="AC84" i="16" s="1"/>
  <c r="V84" i="16"/>
  <c r="AB84" i="16" s="1"/>
  <c r="X83" i="16"/>
  <c r="AD83" i="16" s="1"/>
  <c r="W83" i="16"/>
  <c r="AC83" i="16" s="1"/>
  <c r="V83" i="16"/>
  <c r="AB83" i="16" s="1"/>
  <c r="X82" i="16"/>
  <c r="AD82" i="16" s="1"/>
  <c r="W82" i="16"/>
  <c r="AC82" i="16" s="1"/>
  <c r="V82" i="16"/>
  <c r="AB82" i="16" s="1"/>
  <c r="X81" i="16"/>
  <c r="AD81" i="16" s="1"/>
  <c r="W81" i="16"/>
  <c r="AC81" i="16" s="1"/>
  <c r="V81" i="16"/>
  <c r="AB81" i="16" s="1"/>
  <c r="X80" i="16"/>
  <c r="AD80" i="16" s="1"/>
  <c r="W80" i="16"/>
  <c r="AC80" i="16" s="1"/>
  <c r="V80" i="16"/>
  <c r="AB80" i="16" s="1"/>
  <c r="X79" i="16"/>
  <c r="AD79" i="16" s="1"/>
  <c r="W79" i="16"/>
  <c r="AC79" i="16" s="1"/>
  <c r="V79" i="16"/>
  <c r="AB79" i="16" s="1"/>
  <c r="X78" i="16"/>
  <c r="AD78" i="16" s="1"/>
  <c r="W78" i="16"/>
  <c r="AC78" i="16" s="1"/>
  <c r="V78" i="16"/>
  <c r="AB78" i="16" s="1"/>
  <c r="X77" i="16"/>
  <c r="AD77" i="16" s="1"/>
  <c r="W77" i="16"/>
  <c r="AC77" i="16" s="1"/>
  <c r="V77" i="16"/>
  <c r="AB77" i="16" s="1"/>
  <c r="X76" i="16"/>
  <c r="AD76" i="16" s="1"/>
  <c r="W76" i="16"/>
  <c r="AC76" i="16" s="1"/>
  <c r="V76" i="16"/>
  <c r="AB76" i="16" s="1"/>
  <c r="X75" i="16"/>
  <c r="AD75" i="16" s="1"/>
  <c r="W75" i="16"/>
  <c r="AC75" i="16" s="1"/>
  <c r="V75" i="16"/>
  <c r="AB75" i="16" s="1"/>
  <c r="X74" i="16"/>
  <c r="AD74" i="16" s="1"/>
  <c r="W74" i="16"/>
  <c r="AC74" i="16" s="1"/>
  <c r="V74" i="16"/>
  <c r="AB74" i="16" s="1"/>
  <c r="X73" i="16"/>
  <c r="AD73" i="16" s="1"/>
  <c r="W73" i="16"/>
  <c r="AC73" i="16" s="1"/>
  <c r="V73" i="16"/>
  <c r="AB73" i="16" s="1"/>
  <c r="X72" i="16"/>
  <c r="AD72" i="16" s="1"/>
  <c r="W72" i="16"/>
  <c r="AC72" i="16" s="1"/>
  <c r="V72" i="16"/>
  <c r="AB72" i="16" s="1"/>
  <c r="X71" i="16"/>
  <c r="AD71" i="16" s="1"/>
  <c r="W71" i="16"/>
  <c r="AC71" i="16" s="1"/>
  <c r="V71" i="16"/>
  <c r="AB71" i="16" s="1"/>
  <c r="X70" i="16"/>
  <c r="AD70" i="16" s="1"/>
  <c r="W70" i="16"/>
  <c r="AC70" i="16" s="1"/>
  <c r="V70" i="16"/>
  <c r="AB70" i="16" s="1"/>
  <c r="X69" i="16"/>
  <c r="AD69" i="16" s="1"/>
  <c r="W69" i="16"/>
  <c r="AC69" i="16" s="1"/>
  <c r="V69" i="16"/>
  <c r="AB69" i="16" s="1"/>
  <c r="X68" i="16"/>
  <c r="AD68" i="16" s="1"/>
  <c r="W68" i="16"/>
  <c r="AC68" i="16" s="1"/>
  <c r="V68" i="16"/>
  <c r="AB68" i="16" s="1"/>
  <c r="X67" i="16"/>
  <c r="AD67" i="16" s="1"/>
  <c r="W67" i="16"/>
  <c r="AC67" i="16" s="1"/>
  <c r="V67" i="16"/>
  <c r="AB67" i="16" s="1"/>
  <c r="AJ3" i="16" s="1"/>
  <c r="X66" i="16"/>
  <c r="AD66" i="16" s="1"/>
  <c r="W66" i="16"/>
  <c r="AC66" i="16" s="1"/>
  <c r="V66" i="16"/>
  <c r="AB66" i="16" s="1"/>
  <c r="X65" i="16"/>
  <c r="AD65" i="16" s="1"/>
  <c r="W65" i="16"/>
  <c r="AC65" i="16" s="1"/>
  <c r="V65" i="16"/>
  <c r="AB65" i="16" s="1"/>
  <c r="X64" i="16"/>
  <c r="AD64" i="16" s="1"/>
  <c r="W64" i="16"/>
  <c r="AC64" i="16" s="1"/>
  <c r="V64" i="16"/>
  <c r="AB64" i="16" s="1"/>
  <c r="X63" i="16"/>
  <c r="AD63" i="16" s="1"/>
  <c r="W63" i="16"/>
  <c r="AC63" i="16" s="1"/>
  <c r="V63" i="16"/>
  <c r="AB63" i="16" s="1"/>
  <c r="X62" i="16"/>
  <c r="AD62" i="16" s="1"/>
  <c r="W62" i="16"/>
  <c r="AC62" i="16" s="1"/>
  <c r="V62" i="16"/>
  <c r="AB62" i="16" s="1"/>
  <c r="X61" i="16"/>
  <c r="AD61" i="16" s="1"/>
  <c r="W61" i="16"/>
  <c r="AC61" i="16" s="1"/>
  <c r="V61" i="16"/>
  <c r="AB61" i="16" s="1"/>
  <c r="X60" i="16"/>
  <c r="AD60" i="16" s="1"/>
  <c r="W60" i="16"/>
  <c r="AC60" i="16" s="1"/>
  <c r="V60" i="16"/>
  <c r="AB60" i="16" s="1"/>
  <c r="X59" i="16"/>
  <c r="AD59" i="16" s="1"/>
  <c r="W59" i="16"/>
  <c r="AC59" i="16" s="1"/>
  <c r="V59" i="16"/>
  <c r="AB59" i="16" s="1"/>
  <c r="X58" i="16"/>
  <c r="AD58" i="16" s="1"/>
  <c r="W58" i="16"/>
  <c r="AC58" i="16" s="1"/>
  <c r="V58" i="16"/>
  <c r="AB58" i="16" s="1"/>
  <c r="X57" i="16"/>
  <c r="AD57" i="16" s="1"/>
  <c r="W57" i="16"/>
  <c r="AC57" i="16" s="1"/>
  <c r="V57" i="16"/>
  <c r="AB57" i="16" s="1"/>
  <c r="X56" i="16"/>
  <c r="AD56" i="16" s="1"/>
  <c r="W56" i="16"/>
  <c r="AC56" i="16" s="1"/>
  <c r="V56" i="16"/>
  <c r="AB56" i="16" s="1"/>
  <c r="X55" i="16"/>
  <c r="AD55" i="16" s="1"/>
  <c r="W55" i="16"/>
  <c r="AC55" i="16" s="1"/>
  <c r="V55" i="16"/>
  <c r="AB55" i="16" s="1"/>
  <c r="X54" i="16"/>
  <c r="AD54" i="16" s="1"/>
  <c r="W54" i="16"/>
  <c r="AC54" i="16" s="1"/>
  <c r="V54" i="16"/>
  <c r="AB54" i="16" s="1"/>
  <c r="X53" i="16"/>
  <c r="AD53" i="16" s="1"/>
  <c r="W53" i="16"/>
  <c r="AC53" i="16" s="1"/>
  <c r="V53" i="16"/>
  <c r="AB53" i="16" s="1"/>
  <c r="X52" i="16"/>
  <c r="AD52" i="16" s="1"/>
  <c r="W52" i="16"/>
  <c r="AC52" i="16" s="1"/>
  <c r="V52" i="16"/>
  <c r="AB52" i="16" s="1"/>
  <c r="X51" i="16"/>
  <c r="AD51" i="16" s="1"/>
  <c r="W51" i="16"/>
  <c r="AC51" i="16" s="1"/>
  <c r="V51" i="16"/>
  <c r="AB51" i="16" s="1"/>
  <c r="X50" i="16"/>
  <c r="AD50" i="16" s="1"/>
  <c r="W50" i="16"/>
  <c r="AC50" i="16" s="1"/>
  <c r="V50" i="16"/>
  <c r="AB50" i="16" s="1"/>
  <c r="X49" i="16"/>
  <c r="AD49" i="16" s="1"/>
  <c r="W49" i="16"/>
  <c r="AC49" i="16" s="1"/>
  <c r="V49" i="16"/>
  <c r="AB49" i="16" s="1"/>
  <c r="X48" i="16"/>
  <c r="AD48" i="16" s="1"/>
  <c r="W48" i="16"/>
  <c r="AC48" i="16" s="1"/>
  <c r="V48" i="16"/>
  <c r="AB48" i="16" s="1"/>
  <c r="X47" i="16"/>
  <c r="AD47" i="16" s="1"/>
  <c r="W47" i="16"/>
  <c r="AC47" i="16" s="1"/>
  <c r="V47" i="16"/>
  <c r="AB47" i="16" s="1"/>
  <c r="X46" i="16"/>
  <c r="AD46" i="16" s="1"/>
  <c r="W46" i="16"/>
  <c r="AC46" i="16" s="1"/>
  <c r="V46" i="16"/>
  <c r="AB46" i="16" s="1"/>
  <c r="X45" i="16"/>
  <c r="AD45" i="16" s="1"/>
  <c r="W45" i="16"/>
  <c r="AC45" i="16" s="1"/>
  <c r="V45" i="16"/>
  <c r="AB45" i="16" s="1"/>
  <c r="X44" i="16"/>
  <c r="AD44" i="16" s="1"/>
  <c r="W44" i="16"/>
  <c r="AC44" i="16" s="1"/>
  <c r="V44" i="16"/>
  <c r="AB44" i="16" s="1"/>
  <c r="X43" i="16"/>
  <c r="AD43" i="16" s="1"/>
  <c r="W43" i="16"/>
  <c r="AC43" i="16" s="1"/>
  <c r="V43" i="16"/>
  <c r="AB43" i="16" s="1"/>
  <c r="X42" i="16"/>
  <c r="AD42" i="16" s="1"/>
  <c r="W42" i="16"/>
  <c r="AC42" i="16" s="1"/>
  <c r="V42" i="16"/>
  <c r="AB42" i="16" s="1"/>
  <c r="X41" i="16"/>
  <c r="AD41" i="16" s="1"/>
  <c r="W41" i="16"/>
  <c r="AC41" i="16" s="1"/>
  <c r="V41" i="16"/>
  <c r="AB41" i="16" s="1"/>
  <c r="X40" i="16"/>
  <c r="AD40" i="16" s="1"/>
  <c r="W40" i="16"/>
  <c r="AC40" i="16" s="1"/>
  <c r="V40" i="16"/>
  <c r="AB40" i="16" s="1"/>
  <c r="X39" i="16"/>
  <c r="AD39" i="16" s="1"/>
  <c r="W39" i="16"/>
  <c r="AC39" i="16" s="1"/>
  <c r="V39" i="16"/>
  <c r="AB39" i="16" s="1"/>
  <c r="X38" i="16"/>
  <c r="AD38" i="16" s="1"/>
  <c r="W38" i="16"/>
  <c r="AC38" i="16" s="1"/>
  <c r="V38" i="16"/>
  <c r="AB38" i="16" s="1"/>
  <c r="X37" i="16"/>
  <c r="AD37" i="16" s="1"/>
  <c r="W37" i="16"/>
  <c r="AC37" i="16" s="1"/>
  <c r="V37" i="16"/>
  <c r="AB37" i="16" s="1"/>
  <c r="X36" i="16"/>
  <c r="AD36" i="16" s="1"/>
  <c r="W36" i="16"/>
  <c r="AC36" i="16" s="1"/>
  <c r="V36" i="16"/>
  <c r="AB36" i="16" s="1"/>
  <c r="X35" i="16"/>
  <c r="AD35" i="16" s="1"/>
  <c r="W35" i="16"/>
  <c r="AC35" i="16" s="1"/>
  <c r="V35" i="16"/>
  <c r="AB35" i="16" s="1"/>
  <c r="X34" i="16"/>
  <c r="AD34" i="16" s="1"/>
  <c r="W34" i="16"/>
  <c r="AC34" i="16" s="1"/>
  <c r="V34" i="16"/>
  <c r="AB34" i="16" s="1"/>
  <c r="X33" i="16"/>
  <c r="AD33" i="16" s="1"/>
  <c r="W33" i="16"/>
  <c r="AC33" i="16" s="1"/>
  <c r="V33" i="16"/>
  <c r="AB33" i="16" s="1"/>
  <c r="X32" i="16"/>
  <c r="AD32" i="16" s="1"/>
  <c r="W32" i="16"/>
  <c r="AC32" i="16" s="1"/>
  <c r="V32" i="16"/>
  <c r="AB32" i="16" s="1"/>
  <c r="X31" i="16"/>
  <c r="AD31" i="16" s="1"/>
  <c r="W31" i="16"/>
  <c r="AC31" i="16" s="1"/>
  <c r="V31" i="16"/>
  <c r="AB31" i="16" s="1"/>
  <c r="X30" i="16"/>
  <c r="AD30" i="16" s="1"/>
  <c r="W30" i="16"/>
  <c r="AC30" i="16" s="1"/>
  <c r="V30" i="16"/>
  <c r="AB30" i="16" s="1"/>
  <c r="X29" i="16"/>
  <c r="AD29" i="16" s="1"/>
  <c r="W29" i="16"/>
  <c r="AC29" i="16" s="1"/>
  <c r="V29" i="16"/>
  <c r="AB29" i="16" s="1"/>
  <c r="X28" i="16"/>
  <c r="AD28" i="16" s="1"/>
  <c r="W28" i="16"/>
  <c r="AC28" i="16" s="1"/>
  <c r="V28" i="16"/>
  <c r="AB28" i="16" s="1"/>
  <c r="X27" i="16"/>
  <c r="AD27" i="16" s="1"/>
  <c r="W27" i="16"/>
  <c r="AC27" i="16" s="1"/>
  <c r="V27" i="16"/>
  <c r="AB27" i="16" s="1"/>
  <c r="X26" i="16"/>
  <c r="AD26" i="16" s="1"/>
  <c r="W26" i="16"/>
  <c r="AC26" i="16" s="1"/>
  <c r="V26" i="16"/>
  <c r="AB26" i="16" s="1"/>
  <c r="X25" i="16"/>
  <c r="AD25" i="16" s="1"/>
  <c r="W25" i="16"/>
  <c r="AC25" i="16" s="1"/>
  <c r="V25" i="16"/>
  <c r="AB25" i="16" s="1"/>
  <c r="X24" i="16"/>
  <c r="AD24" i="16" s="1"/>
  <c r="W24" i="16"/>
  <c r="AC24" i="16" s="1"/>
  <c r="V24" i="16"/>
  <c r="AB24" i="16" s="1"/>
  <c r="X23" i="16"/>
  <c r="AD23" i="16" s="1"/>
  <c r="W23" i="16"/>
  <c r="AC23" i="16" s="1"/>
  <c r="V23" i="16"/>
  <c r="AB23" i="16" s="1"/>
  <c r="X22" i="16"/>
  <c r="AD22" i="16" s="1"/>
  <c r="W22" i="16"/>
  <c r="AC22" i="16" s="1"/>
  <c r="V22" i="16"/>
  <c r="AB22" i="16" s="1"/>
  <c r="X21" i="16"/>
  <c r="AD21" i="16" s="1"/>
  <c r="W21" i="16"/>
  <c r="AC21" i="16" s="1"/>
  <c r="V21" i="16"/>
  <c r="AB21" i="16" s="1"/>
  <c r="X20" i="16"/>
  <c r="AD20" i="16" s="1"/>
  <c r="W20" i="16"/>
  <c r="AC20" i="16" s="1"/>
  <c r="V20" i="16"/>
  <c r="AB20" i="16" s="1"/>
  <c r="X19" i="16"/>
  <c r="AD19" i="16" s="1"/>
  <c r="W19" i="16"/>
  <c r="AC19" i="16" s="1"/>
  <c r="V19" i="16"/>
  <c r="AB19" i="16" s="1"/>
  <c r="X18" i="16"/>
  <c r="AD18" i="16" s="1"/>
  <c r="W18" i="16"/>
  <c r="AC18" i="16" s="1"/>
  <c r="V18" i="16"/>
  <c r="AB18" i="16" s="1"/>
  <c r="X17" i="16"/>
  <c r="AD17" i="16" s="1"/>
  <c r="W17" i="16"/>
  <c r="AC17" i="16" s="1"/>
  <c r="V17" i="16"/>
  <c r="AB17" i="16" s="1"/>
  <c r="X16" i="16"/>
  <c r="AD16" i="16" s="1"/>
  <c r="W16" i="16"/>
  <c r="AC16" i="16" s="1"/>
  <c r="V16" i="16"/>
  <c r="AB16" i="16" s="1"/>
  <c r="X15" i="16"/>
  <c r="AD15" i="16" s="1"/>
  <c r="W15" i="16"/>
  <c r="AC15" i="16" s="1"/>
  <c r="V15" i="16"/>
  <c r="AB15" i="16" s="1"/>
  <c r="X14" i="16"/>
  <c r="AD14" i="16" s="1"/>
  <c r="W14" i="16"/>
  <c r="AC14" i="16" s="1"/>
  <c r="V14" i="16"/>
  <c r="AB14" i="16" s="1"/>
  <c r="X13" i="16"/>
  <c r="AD13" i="16" s="1"/>
  <c r="W13" i="16"/>
  <c r="AC13" i="16" s="1"/>
  <c r="V13" i="16"/>
  <c r="AB13" i="16" s="1"/>
  <c r="X12" i="16"/>
  <c r="AD12" i="16" s="1"/>
  <c r="W12" i="16"/>
  <c r="AC12" i="16" s="1"/>
  <c r="V12" i="16"/>
  <c r="AB12" i="16" s="1"/>
  <c r="X11" i="16"/>
  <c r="AD11" i="16" s="1"/>
  <c r="W11" i="16"/>
  <c r="AC11" i="16" s="1"/>
  <c r="V11" i="16"/>
  <c r="AB11" i="16" s="1"/>
  <c r="X10" i="16"/>
  <c r="AD10" i="16" s="1"/>
  <c r="W10" i="16"/>
  <c r="AC10" i="16" s="1"/>
  <c r="V10" i="16"/>
  <c r="AB10" i="16" s="1"/>
  <c r="X9" i="16"/>
  <c r="AD9" i="16" s="1"/>
  <c r="W9" i="16"/>
  <c r="AC9" i="16" s="1"/>
  <c r="V9" i="16"/>
  <c r="AB9" i="16" s="1"/>
  <c r="X8" i="16"/>
  <c r="AD8" i="16" s="1"/>
  <c r="W8" i="16"/>
  <c r="AC8" i="16" s="1"/>
  <c r="V8" i="16"/>
  <c r="AB8" i="16" s="1"/>
  <c r="X7" i="16"/>
  <c r="AD7" i="16" s="1"/>
  <c r="W7" i="16"/>
  <c r="AC7" i="16" s="1"/>
  <c r="V7" i="16"/>
  <c r="AB7" i="16" s="1"/>
  <c r="X6" i="16"/>
  <c r="AD6" i="16" s="1"/>
  <c r="W6" i="16"/>
  <c r="AC6" i="16" s="1"/>
  <c r="V6" i="16"/>
  <c r="AB6" i="16" s="1"/>
  <c r="X5" i="16"/>
  <c r="AD5" i="16" s="1"/>
  <c r="W5" i="16"/>
  <c r="AC5" i="16" s="1"/>
  <c r="V5" i="16"/>
  <c r="AB5" i="16" s="1"/>
  <c r="X4" i="16"/>
  <c r="AD4" i="16" s="1"/>
  <c r="W4" i="16"/>
  <c r="AC4" i="16" s="1"/>
  <c r="V4" i="16"/>
  <c r="AB4" i="16" s="1"/>
  <c r="X3" i="16"/>
  <c r="AD3" i="16" s="1"/>
  <c r="W3" i="16"/>
  <c r="AC3" i="16" s="1"/>
  <c r="V3" i="16"/>
  <c r="AB3" i="16" s="1"/>
  <c r="X2" i="16"/>
  <c r="AD2" i="16" s="1"/>
  <c r="W2" i="16"/>
  <c r="AC2" i="16" s="1"/>
  <c r="V2" i="16"/>
  <c r="AB2" i="16" s="1"/>
  <c r="AD51" i="6"/>
  <c r="AB51" i="6"/>
  <c r="AA51" i="6"/>
  <c r="Z51" i="6"/>
  <c r="X51" i="6"/>
  <c r="W51" i="6"/>
  <c r="V51" i="6"/>
  <c r="U51" i="6"/>
  <c r="AD50" i="6"/>
  <c r="AB50" i="6"/>
  <c r="AA50" i="6"/>
  <c r="Z50" i="6"/>
  <c r="Z50" i="7" s="1"/>
  <c r="X50" i="6"/>
  <c r="W50" i="6"/>
  <c r="V50" i="6"/>
  <c r="U50" i="6"/>
  <c r="AD49" i="6"/>
  <c r="AB49" i="6"/>
  <c r="AA49" i="6"/>
  <c r="Z49" i="6"/>
  <c r="X49" i="6"/>
  <c r="W49" i="6"/>
  <c r="V49" i="6"/>
  <c r="U49" i="6"/>
  <c r="AD48" i="6"/>
  <c r="AC48" i="6"/>
  <c r="AB48" i="6"/>
  <c r="AA48" i="6"/>
  <c r="Z48" i="6"/>
  <c r="X48" i="6"/>
  <c r="W48" i="6"/>
  <c r="V48" i="6"/>
  <c r="U48" i="6"/>
  <c r="AD47" i="6"/>
  <c r="AB47" i="6"/>
  <c r="AA47" i="6"/>
  <c r="AA47" i="7" s="1"/>
  <c r="Z47" i="6"/>
  <c r="X47" i="6"/>
  <c r="W47" i="6"/>
  <c r="V47" i="6"/>
  <c r="U47" i="6"/>
  <c r="AD46" i="6"/>
  <c r="AB46" i="6"/>
  <c r="AA46" i="6"/>
  <c r="Z46" i="6"/>
  <c r="X46" i="6"/>
  <c r="W46" i="6"/>
  <c r="V46" i="6"/>
  <c r="U46" i="6"/>
  <c r="AD45" i="6"/>
  <c r="AB45" i="6"/>
  <c r="AA45" i="6"/>
  <c r="AA45" i="7" s="1"/>
  <c r="Z45" i="6"/>
  <c r="X45" i="6"/>
  <c r="W45" i="6"/>
  <c r="V45" i="6"/>
  <c r="U45" i="6"/>
  <c r="AD44" i="6"/>
  <c r="AB44" i="6"/>
  <c r="AA44" i="6"/>
  <c r="Z44" i="6"/>
  <c r="X44" i="6"/>
  <c r="W44" i="6"/>
  <c r="V44" i="6"/>
  <c r="U44" i="6"/>
  <c r="AD43" i="6"/>
  <c r="AB43" i="6"/>
  <c r="AA43" i="6"/>
  <c r="AA43" i="7" s="1"/>
  <c r="Z43" i="6"/>
  <c r="X43" i="6"/>
  <c r="W43" i="6"/>
  <c r="V43" i="6"/>
  <c r="U43" i="6"/>
  <c r="AD42" i="6"/>
  <c r="AB42" i="6"/>
  <c r="AA42" i="6"/>
  <c r="Z42" i="6"/>
  <c r="Z42" i="7" s="1"/>
  <c r="X42" i="6"/>
  <c r="W42" i="6"/>
  <c r="V42" i="6"/>
  <c r="U42" i="6"/>
  <c r="AD41" i="6"/>
  <c r="AB41" i="6"/>
  <c r="AA41" i="6"/>
  <c r="Z41" i="6"/>
  <c r="X41" i="6"/>
  <c r="W41" i="6"/>
  <c r="V41" i="6"/>
  <c r="U41" i="6"/>
  <c r="AD40" i="6"/>
  <c r="AB40" i="6"/>
  <c r="AA40" i="6"/>
  <c r="Z40" i="6"/>
  <c r="Z40" i="7" s="1"/>
  <c r="X40" i="6"/>
  <c r="W40" i="6"/>
  <c r="V40" i="6"/>
  <c r="U40" i="6"/>
  <c r="AD39" i="6"/>
  <c r="AB39" i="6"/>
  <c r="AA39" i="6"/>
  <c r="Z39" i="6"/>
  <c r="Z39" i="7" s="1"/>
  <c r="X39" i="6"/>
  <c r="W39" i="6"/>
  <c r="V39" i="6"/>
  <c r="U39" i="6"/>
  <c r="AD38" i="6"/>
  <c r="AB38" i="6"/>
  <c r="AA38" i="6"/>
  <c r="Z38" i="6"/>
  <c r="Z38" i="7" s="1"/>
  <c r="X38" i="6"/>
  <c r="W38" i="6"/>
  <c r="V38" i="6"/>
  <c r="U38" i="6"/>
  <c r="AD37" i="6"/>
  <c r="AB37" i="6"/>
  <c r="AA37" i="6"/>
  <c r="Z37" i="6"/>
  <c r="Z37" i="7" s="1"/>
  <c r="X37" i="6"/>
  <c r="W37" i="6"/>
  <c r="V37" i="6"/>
  <c r="U37" i="6"/>
  <c r="AD36" i="6"/>
  <c r="AC36" i="6"/>
  <c r="AB36" i="6"/>
  <c r="AA36" i="6"/>
  <c r="Z36" i="6"/>
  <c r="X36" i="6"/>
  <c r="W36" i="6"/>
  <c r="V36" i="6"/>
  <c r="U36" i="6"/>
  <c r="AD35" i="6"/>
  <c r="AB35" i="6"/>
  <c r="AA35" i="6"/>
  <c r="AA35" i="7" s="1"/>
  <c r="Z35" i="6"/>
  <c r="X35" i="6"/>
  <c r="W35" i="6"/>
  <c r="V35" i="6"/>
  <c r="U35" i="6"/>
  <c r="AD34" i="6"/>
  <c r="AB34" i="6"/>
  <c r="AA34" i="6"/>
  <c r="AA34" i="7" s="1"/>
  <c r="Z34" i="6"/>
  <c r="X34" i="6"/>
  <c r="W34" i="6"/>
  <c r="V34" i="6"/>
  <c r="U34" i="6"/>
  <c r="AD33" i="6"/>
  <c r="AB33" i="6"/>
  <c r="AA33" i="6"/>
  <c r="AA33" i="7" s="1"/>
  <c r="Z33" i="6"/>
  <c r="X33" i="6"/>
  <c r="W33" i="6"/>
  <c r="V33" i="6"/>
  <c r="U33" i="6"/>
  <c r="AD32" i="6"/>
  <c r="AB32" i="6"/>
  <c r="AA32" i="6"/>
  <c r="AA32" i="7" s="1"/>
  <c r="Z32" i="6"/>
  <c r="X32" i="6"/>
  <c r="W32" i="6"/>
  <c r="V32" i="6"/>
  <c r="U32" i="6"/>
  <c r="AD31" i="6"/>
  <c r="AB31" i="6"/>
  <c r="AA31" i="6"/>
  <c r="Z31" i="6"/>
  <c r="X31" i="6"/>
  <c r="W31" i="6"/>
  <c r="V31" i="6"/>
  <c r="U31" i="6"/>
  <c r="AD30" i="6"/>
  <c r="AB30" i="6"/>
  <c r="AA30" i="6"/>
  <c r="Z30" i="6"/>
  <c r="X30" i="6"/>
  <c r="W30" i="6"/>
  <c r="V30" i="6"/>
  <c r="U30" i="6"/>
  <c r="AD29" i="6"/>
  <c r="AB29" i="6"/>
  <c r="AA29" i="6"/>
  <c r="AA29" i="7" s="1"/>
  <c r="Z29" i="6"/>
  <c r="X29" i="6"/>
  <c r="W29" i="6"/>
  <c r="V29" i="6"/>
  <c r="U29" i="6"/>
  <c r="AD28" i="6"/>
  <c r="AB28" i="6"/>
  <c r="AA28" i="6"/>
  <c r="Z28" i="6"/>
  <c r="Z28" i="7" s="1"/>
  <c r="X28" i="6"/>
  <c r="W28" i="6"/>
  <c r="V28" i="6"/>
  <c r="U28" i="6"/>
  <c r="AD27" i="6"/>
  <c r="AB27" i="6"/>
  <c r="AA27" i="6"/>
  <c r="Z27" i="6"/>
  <c r="X27" i="6"/>
  <c r="W27" i="6"/>
  <c r="V27" i="6"/>
  <c r="U27" i="6"/>
  <c r="AD26" i="6"/>
  <c r="AB26" i="6"/>
  <c r="AA26" i="6"/>
  <c r="Z26" i="6"/>
  <c r="Z26" i="7" s="1"/>
  <c r="X26" i="6"/>
  <c r="W26" i="6"/>
  <c r="V26" i="6"/>
  <c r="U26" i="6"/>
  <c r="AD25" i="6"/>
  <c r="AC25" i="6"/>
  <c r="AB25" i="6"/>
  <c r="AA25" i="6"/>
  <c r="AA25" i="7" s="1"/>
  <c r="Z25" i="6"/>
  <c r="Y25" i="6"/>
  <c r="X25" i="6"/>
  <c r="W25" i="6"/>
  <c r="V25" i="6"/>
  <c r="U25" i="6"/>
  <c r="AD24" i="6"/>
  <c r="AB24" i="6"/>
  <c r="AA24" i="6"/>
  <c r="Z24" i="6"/>
  <c r="Z24" i="7" s="1"/>
  <c r="X24" i="6"/>
  <c r="W24" i="6"/>
  <c r="V24" i="6"/>
  <c r="U24" i="6"/>
  <c r="AD23" i="6"/>
  <c r="AB23" i="6"/>
  <c r="AA23" i="6"/>
  <c r="AA23" i="7" s="1"/>
  <c r="Z23" i="6"/>
  <c r="Z23" i="7" s="1"/>
  <c r="X23" i="6"/>
  <c r="W23" i="6"/>
  <c r="V23" i="6"/>
  <c r="U23" i="6"/>
  <c r="AD22" i="6"/>
  <c r="AB22" i="6"/>
  <c r="AA22" i="6"/>
  <c r="AA22" i="7" s="1"/>
  <c r="Z22" i="6"/>
  <c r="X22" i="6"/>
  <c r="W22" i="6"/>
  <c r="V22" i="6"/>
  <c r="U22" i="6"/>
  <c r="AD21" i="6"/>
  <c r="AB21" i="6"/>
  <c r="AA21" i="6"/>
  <c r="Z21" i="6"/>
  <c r="X21" i="6"/>
  <c r="W21" i="6"/>
  <c r="V21" i="6"/>
  <c r="U21" i="6"/>
  <c r="AD20" i="6"/>
  <c r="AC20" i="6"/>
  <c r="AB20" i="6"/>
  <c r="AA20" i="6"/>
  <c r="Z20" i="6"/>
  <c r="Y20" i="6"/>
  <c r="X20" i="6"/>
  <c r="W20" i="6"/>
  <c r="V20" i="6"/>
  <c r="U20" i="6"/>
  <c r="AD19" i="6"/>
  <c r="AC19" i="6"/>
  <c r="AB19" i="6"/>
  <c r="AA19" i="6"/>
  <c r="Z19" i="6"/>
  <c r="Z19" i="7" s="1"/>
  <c r="Y19" i="6"/>
  <c r="X19" i="6"/>
  <c r="W19" i="6"/>
  <c r="V19" i="6"/>
  <c r="U19" i="6"/>
  <c r="AD18" i="6"/>
  <c r="AC18" i="6"/>
  <c r="AB18" i="6"/>
  <c r="AA18" i="6"/>
  <c r="Z18" i="6"/>
  <c r="Y18" i="6"/>
  <c r="X18" i="6"/>
  <c r="W18" i="6"/>
  <c r="V18" i="6"/>
  <c r="U18" i="6"/>
  <c r="AD17" i="6"/>
  <c r="AC17" i="6"/>
  <c r="AB17" i="6"/>
  <c r="AA17" i="6"/>
  <c r="AA17" i="7" s="1"/>
  <c r="Z17" i="6"/>
  <c r="Y17" i="6"/>
  <c r="X17" i="6"/>
  <c r="W17" i="6"/>
  <c r="V17" i="6"/>
  <c r="U17" i="6"/>
  <c r="AD16" i="6"/>
  <c r="AC16" i="6"/>
  <c r="AB16" i="6"/>
  <c r="AA16" i="6"/>
  <c r="Z16" i="6"/>
  <c r="Z16" i="7" s="1"/>
  <c r="Y16" i="6"/>
  <c r="X16" i="6"/>
  <c r="W16" i="6"/>
  <c r="V16" i="6"/>
  <c r="U16" i="6"/>
  <c r="AD15" i="6"/>
  <c r="AC15" i="6"/>
  <c r="AB15" i="6"/>
  <c r="AA15" i="6"/>
  <c r="AA15" i="7" s="1"/>
  <c r="Z15" i="6"/>
  <c r="Y15" i="6"/>
  <c r="X15" i="6"/>
  <c r="W15" i="6"/>
  <c r="V15" i="6"/>
  <c r="U15" i="6"/>
  <c r="AD14" i="6"/>
  <c r="AC14" i="6"/>
  <c r="AB14" i="6"/>
  <c r="AA14" i="6"/>
  <c r="Z14" i="6"/>
  <c r="Z14" i="7" s="1"/>
  <c r="Y14" i="6"/>
  <c r="X14" i="6"/>
  <c r="W14" i="6"/>
  <c r="V14" i="6"/>
  <c r="U14" i="6"/>
  <c r="AD13" i="6"/>
  <c r="AC13" i="6"/>
  <c r="AB13" i="6"/>
  <c r="AA13" i="6"/>
  <c r="Z13" i="6"/>
  <c r="Y13" i="6"/>
  <c r="X13" i="6"/>
  <c r="W13" i="6"/>
  <c r="V13" i="6"/>
  <c r="U13" i="6"/>
  <c r="AD12" i="6"/>
  <c r="AC12" i="6"/>
  <c r="AB12" i="6"/>
  <c r="AA12" i="6"/>
  <c r="Z12" i="6"/>
  <c r="Z12" i="7" s="1"/>
  <c r="Y12" i="6"/>
  <c r="X12" i="6"/>
  <c r="W12" i="6"/>
  <c r="V12" i="6"/>
  <c r="U12" i="6"/>
  <c r="AD11" i="6"/>
  <c r="AC11" i="6"/>
  <c r="AB11" i="6"/>
  <c r="AA11" i="6"/>
  <c r="AA11" i="7" s="1"/>
  <c r="Z11" i="6"/>
  <c r="Z11" i="7" s="1"/>
  <c r="Y11" i="6"/>
  <c r="X11" i="6"/>
  <c r="W11" i="6"/>
  <c r="V11" i="6"/>
  <c r="U11" i="6"/>
  <c r="AD10" i="6"/>
  <c r="AC10" i="6"/>
  <c r="AB10" i="6"/>
  <c r="AA10" i="6"/>
  <c r="Z10" i="6"/>
  <c r="Y10" i="6"/>
  <c r="X10" i="6"/>
  <c r="W10" i="6"/>
  <c r="V10" i="6"/>
  <c r="U10" i="6"/>
  <c r="AD9" i="6"/>
  <c r="AC9" i="6"/>
  <c r="AB9" i="6"/>
  <c r="AA9" i="6"/>
  <c r="Z9" i="6"/>
  <c r="Z9" i="7" s="1"/>
  <c r="Y9" i="6"/>
  <c r="X9" i="6"/>
  <c r="W9" i="6"/>
  <c r="V9" i="6"/>
  <c r="U9" i="6"/>
  <c r="AD8" i="6"/>
  <c r="AC8" i="6"/>
  <c r="AB8" i="6"/>
  <c r="AA8" i="6"/>
  <c r="Z8" i="6"/>
  <c r="Z8" i="7" s="1"/>
  <c r="Y8" i="6"/>
  <c r="X8" i="6"/>
  <c r="W8" i="6"/>
  <c r="V8" i="6"/>
  <c r="U8" i="6"/>
  <c r="AD7" i="6"/>
  <c r="AC7" i="6"/>
  <c r="AB7" i="6"/>
  <c r="AA7" i="6"/>
  <c r="Z7" i="6"/>
  <c r="Y7" i="6"/>
  <c r="X7" i="6"/>
  <c r="W7" i="6"/>
  <c r="V7" i="6"/>
  <c r="U7" i="6"/>
  <c r="AD6" i="6"/>
  <c r="AC6" i="6"/>
  <c r="AB6" i="6"/>
  <c r="AA6" i="6"/>
  <c r="Z6" i="6"/>
  <c r="Z6" i="7" s="1"/>
  <c r="Y6" i="6"/>
  <c r="X6" i="6"/>
  <c r="W6" i="6"/>
  <c r="V6" i="6"/>
  <c r="U6" i="6"/>
  <c r="AD5" i="6"/>
  <c r="AC5" i="6"/>
  <c r="AB5" i="6"/>
  <c r="AA5" i="6"/>
  <c r="AA5" i="7" s="1"/>
  <c r="Z5" i="6"/>
  <c r="Z5" i="7" s="1"/>
  <c r="Y5" i="6"/>
  <c r="X5" i="6"/>
  <c r="W5" i="6"/>
  <c r="V5" i="6"/>
  <c r="U5" i="6"/>
  <c r="AP51" i="14"/>
  <c r="AC51" i="14"/>
  <c r="AC51" i="6" s="1"/>
  <c r="Y51" i="14"/>
  <c r="Y51" i="6" s="1"/>
  <c r="AP50" i="14"/>
  <c r="AC50" i="14"/>
  <c r="AC50" i="6" s="1"/>
  <c r="Y50" i="14"/>
  <c r="Y50" i="6" s="1"/>
  <c r="AP49" i="14"/>
  <c r="AC49" i="14"/>
  <c r="AC49" i="6" s="1"/>
  <c r="Y49" i="14"/>
  <c r="Y49" i="6" s="1"/>
  <c r="AP48" i="14"/>
  <c r="AC48" i="14"/>
  <c r="Y48" i="14"/>
  <c r="Y48" i="6" s="1"/>
  <c r="AP47" i="14"/>
  <c r="AC47" i="14"/>
  <c r="AC47" i="6" s="1"/>
  <c r="Y47" i="14"/>
  <c r="Y47" i="6" s="1"/>
  <c r="AP46" i="14"/>
  <c r="AC46" i="14"/>
  <c r="AC46" i="6" s="1"/>
  <c r="Y46" i="14"/>
  <c r="Y46" i="6" s="1"/>
  <c r="AP45" i="14"/>
  <c r="AC45" i="14"/>
  <c r="AC45" i="6" s="1"/>
  <c r="Y45" i="14"/>
  <c r="Y45" i="6" s="1"/>
  <c r="AP44" i="14"/>
  <c r="AC44" i="14"/>
  <c r="AC44" i="6" s="1"/>
  <c r="Y44" i="14"/>
  <c r="Y44" i="6" s="1"/>
  <c r="AP43" i="14"/>
  <c r="AC43" i="14"/>
  <c r="AC43" i="6" s="1"/>
  <c r="Y43" i="14"/>
  <c r="Y43" i="6" s="1"/>
  <c r="AP42" i="14"/>
  <c r="AC42" i="14"/>
  <c r="AC42" i="6" s="1"/>
  <c r="Y42" i="14"/>
  <c r="Y42" i="6" s="1"/>
  <c r="AP41" i="14"/>
  <c r="AC41" i="14"/>
  <c r="AC41" i="6" s="1"/>
  <c r="Y41" i="14"/>
  <c r="Y41" i="6" s="1"/>
  <c r="AP40" i="14"/>
  <c r="AC40" i="14"/>
  <c r="AC40" i="6" s="1"/>
  <c r="Y40" i="14"/>
  <c r="Y40" i="6" s="1"/>
  <c r="AP39" i="14"/>
  <c r="AC39" i="14"/>
  <c r="AC39" i="6" s="1"/>
  <c r="Y39" i="14"/>
  <c r="Y39" i="6" s="1"/>
  <c r="AP38" i="14"/>
  <c r="AC38" i="14"/>
  <c r="AC38" i="6" s="1"/>
  <c r="Y38" i="14"/>
  <c r="Y38" i="6" s="1"/>
  <c r="AP37" i="14"/>
  <c r="AC37" i="14"/>
  <c r="AC37" i="6" s="1"/>
  <c r="Y37" i="14"/>
  <c r="Y37" i="6" s="1"/>
  <c r="AP36" i="14"/>
  <c r="AC36" i="14"/>
  <c r="Y36" i="14"/>
  <c r="Y36" i="6" s="1"/>
  <c r="AP35" i="14"/>
  <c r="AC35" i="14"/>
  <c r="AC35" i="6" s="1"/>
  <c r="Y35" i="14"/>
  <c r="Y35" i="6" s="1"/>
  <c r="AP34" i="14"/>
  <c r="AC34" i="14"/>
  <c r="AC34" i="6" s="1"/>
  <c r="Y34" i="14"/>
  <c r="Y34" i="6" s="1"/>
  <c r="AP33" i="14"/>
  <c r="AC33" i="14"/>
  <c r="AC33" i="6" s="1"/>
  <c r="Y33" i="14"/>
  <c r="Y33" i="6" s="1"/>
  <c r="AP32" i="14"/>
  <c r="AC32" i="14"/>
  <c r="AC32" i="6" s="1"/>
  <c r="Y32" i="14"/>
  <c r="Y32" i="6" s="1"/>
  <c r="AP31" i="14"/>
  <c r="AC31" i="14"/>
  <c r="AC31" i="6" s="1"/>
  <c r="Y31" i="14"/>
  <c r="Y31" i="6" s="1"/>
  <c r="AP30" i="14"/>
  <c r="AC30" i="14"/>
  <c r="AC30" i="6" s="1"/>
  <c r="Y30" i="14"/>
  <c r="Y30" i="6" s="1"/>
  <c r="AP29" i="14"/>
  <c r="AC29" i="14"/>
  <c r="AC29" i="6" s="1"/>
  <c r="Y29" i="14"/>
  <c r="Y29" i="6" s="1"/>
  <c r="AP28" i="14"/>
  <c r="AC28" i="14"/>
  <c r="AC28" i="6" s="1"/>
  <c r="Y28" i="14"/>
  <c r="Y28" i="6" s="1"/>
  <c r="AP27" i="14"/>
  <c r="AC27" i="14"/>
  <c r="AC27" i="6" s="1"/>
  <c r="Y27" i="14"/>
  <c r="Y27" i="6" s="1"/>
  <c r="AP26" i="14"/>
  <c r="AC26" i="14"/>
  <c r="AC26" i="6" s="1"/>
  <c r="Y26" i="14"/>
  <c r="Y26" i="6" s="1"/>
  <c r="AP24" i="14"/>
  <c r="AC24" i="14"/>
  <c r="AC24" i="6" s="1"/>
  <c r="Y24" i="14"/>
  <c r="Y24" i="6" s="1"/>
  <c r="AP23" i="14"/>
  <c r="AC23" i="14"/>
  <c r="AC23" i="6" s="1"/>
  <c r="Y23" i="14"/>
  <c r="Y23" i="6" s="1"/>
  <c r="AP22" i="14"/>
  <c r="AC22" i="14"/>
  <c r="AC22" i="6" s="1"/>
  <c r="Y22" i="14"/>
  <c r="Y22" i="6" s="1"/>
  <c r="AP21" i="14"/>
  <c r="AC21" i="14"/>
  <c r="AC21" i="6" s="1"/>
  <c r="Y21" i="14"/>
  <c r="Y21" i="6" s="1"/>
  <c r="X46" i="13"/>
  <c r="V46" i="13"/>
  <c r="T46" i="13"/>
  <c r="P46" i="13"/>
  <c r="O46" i="13"/>
  <c r="N46" i="13"/>
  <c r="M46" i="13"/>
  <c r="V45" i="13"/>
  <c r="U45" i="13"/>
  <c r="T45" i="13"/>
  <c r="P45" i="13"/>
  <c r="O45" i="13"/>
  <c r="N45" i="13"/>
  <c r="M45" i="13"/>
  <c r="X44" i="13"/>
  <c r="V44" i="13"/>
  <c r="U44" i="13"/>
  <c r="T44" i="13"/>
  <c r="P44" i="13"/>
  <c r="O44" i="13"/>
  <c r="N44" i="13"/>
  <c r="M44" i="13"/>
  <c r="X46" i="12"/>
  <c r="V46" i="12"/>
  <c r="T46" i="12"/>
  <c r="P46" i="12"/>
  <c r="O46" i="12"/>
  <c r="N46" i="12"/>
  <c r="M46" i="12"/>
  <c r="V45" i="12"/>
  <c r="U45" i="12"/>
  <c r="T45" i="12"/>
  <c r="P45" i="12"/>
  <c r="O45" i="12"/>
  <c r="N45" i="12"/>
  <c r="M45" i="12"/>
  <c r="X44" i="12"/>
  <c r="V44" i="12"/>
  <c r="V48" i="12" s="1"/>
  <c r="U44" i="12"/>
  <c r="U48" i="12" s="1"/>
  <c r="T44" i="12"/>
  <c r="T48" i="12" s="1"/>
  <c r="P44" i="12"/>
  <c r="P48" i="12" s="1"/>
  <c r="O44" i="12"/>
  <c r="O48" i="12" s="1"/>
  <c r="N44" i="12"/>
  <c r="N48" i="12" s="1"/>
  <c r="M44" i="12"/>
  <c r="M48" i="12" s="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X46" i="11"/>
  <c r="V46" i="11"/>
  <c r="T46" i="11"/>
  <c r="P46" i="11"/>
  <c r="O46" i="11"/>
  <c r="N46" i="11"/>
  <c r="M46" i="11"/>
  <c r="V45" i="11"/>
  <c r="U45" i="11"/>
  <c r="T45" i="11"/>
  <c r="P45" i="11"/>
  <c r="O45" i="11"/>
  <c r="N45" i="11"/>
  <c r="M45" i="11"/>
  <c r="X44" i="11"/>
  <c r="V44" i="11"/>
  <c r="V48" i="11" s="1"/>
  <c r="U44" i="11"/>
  <c r="U48" i="11" s="1"/>
  <c r="T44" i="11"/>
  <c r="T48" i="11" s="1"/>
  <c r="P44" i="11"/>
  <c r="P48" i="11" s="1"/>
  <c r="O44" i="11"/>
  <c r="O48" i="11" s="1"/>
  <c r="N44" i="11"/>
  <c r="N48" i="11" s="1"/>
  <c r="M44" i="11"/>
  <c r="M48" i="11" s="1"/>
  <c r="X46" i="10"/>
  <c r="X44" i="10"/>
  <c r="V46" i="10"/>
  <c r="V45" i="10"/>
  <c r="V44" i="10"/>
  <c r="U45" i="10"/>
  <c r="U44" i="10"/>
  <c r="T46" i="10"/>
  <c r="T45" i="10"/>
  <c r="T44" i="10"/>
  <c r="R47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4" i="10"/>
  <c r="Z13" i="10"/>
  <c r="Z12" i="10"/>
  <c r="Z11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4" i="10"/>
  <c r="V13" i="10"/>
  <c r="V12" i="10"/>
  <c r="V11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4" i="10"/>
  <c r="U13" i="10"/>
  <c r="U12" i="10"/>
  <c r="U11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4" i="10"/>
  <c r="T13" i="10"/>
  <c r="T12" i="10"/>
  <c r="T11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4" i="10"/>
  <c r="R13" i="10"/>
  <c r="R12" i="10"/>
  <c r="R11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4" i="10"/>
  <c r="P13" i="10"/>
  <c r="P12" i="10"/>
  <c r="P11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4" i="10"/>
  <c r="O13" i="10"/>
  <c r="O12" i="10"/>
  <c r="O11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4" i="10"/>
  <c r="N13" i="10"/>
  <c r="N12" i="10"/>
  <c r="N11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4" i="10"/>
  <c r="M13" i="10"/>
  <c r="M12" i="10"/>
  <c r="M11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1" i="10"/>
  <c r="AK56" i="9"/>
  <c r="AF56" i="9"/>
  <c r="AP54" i="9" s="1"/>
  <c r="AE56" i="9"/>
  <c r="AO54" i="9" s="1"/>
  <c r="AC56" i="9"/>
  <c r="Y56" i="9"/>
  <c r="X56" i="9"/>
  <c r="W56" i="9"/>
  <c r="S56" i="9"/>
  <c r="R56" i="9"/>
  <c r="Q56" i="9"/>
  <c r="P56" i="9"/>
  <c r="O56" i="9"/>
  <c r="M56" i="9"/>
  <c r="L56" i="9"/>
  <c r="AK55" i="9"/>
  <c r="AF55" i="9"/>
  <c r="AC55" i="9"/>
  <c r="AA55" i="9"/>
  <c r="Z55" i="9"/>
  <c r="Y55" i="9"/>
  <c r="X55" i="9"/>
  <c r="W55" i="9"/>
  <c r="V55" i="9"/>
  <c r="U55" i="9"/>
  <c r="S55" i="9"/>
  <c r="R55" i="9"/>
  <c r="Q55" i="9"/>
  <c r="P55" i="9"/>
  <c r="O55" i="9"/>
  <c r="M55" i="9"/>
  <c r="L55" i="9"/>
  <c r="AL57" i="8"/>
  <c r="AG57" i="8"/>
  <c r="AD57" i="8"/>
  <c r="AB57" i="8"/>
  <c r="T57" i="8"/>
  <c r="AK56" i="8"/>
  <c r="AF56" i="8"/>
  <c r="AE56" i="8"/>
  <c r="AC56" i="8"/>
  <c r="Y56" i="8"/>
  <c r="X56" i="8"/>
  <c r="W56" i="8"/>
  <c r="S56" i="8"/>
  <c r="R56" i="8"/>
  <c r="Q56" i="8"/>
  <c r="P56" i="8"/>
  <c r="O56" i="8"/>
  <c r="M56" i="8"/>
  <c r="L56" i="8"/>
  <c r="AK55" i="8"/>
  <c r="AF55" i="8"/>
  <c r="AP54" i="8" s="1"/>
  <c r="AC55" i="8"/>
  <c r="AA55" i="8"/>
  <c r="Z55" i="8"/>
  <c r="Y55" i="8"/>
  <c r="X55" i="8"/>
  <c r="W55" i="8"/>
  <c r="V55" i="8"/>
  <c r="U55" i="8"/>
  <c r="S55" i="8"/>
  <c r="R55" i="8"/>
  <c r="Q55" i="8"/>
  <c r="P55" i="8"/>
  <c r="O55" i="8"/>
  <c r="M55" i="8"/>
  <c r="L55" i="8"/>
  <c r="AE54" i="7"/>
  <c r="AL57" i="7"/>
  <c r="AG57" i="7"/>
  <c r="AD57" i="7"/>
  <c r="AB57" i="7"/>
  <c r="T57" i="7"/>
  <c r="AG51" i="7"/>
  <c r="AA51" i="7"/>
  <c r="Z51" i="7"/>
  <c r="AG50" i="7"/>
  <c r="AA50" i="7"/>
  <c r="AG49" i="7"/>
  <c r="AA49" i="7"/>
  <c r="Z49" i="7"/>
  <c r="AG48" i="7"/>
  <c r="AA48" i="7"/>
  <c r="Z48" i="7"/>
  <c r="AG47" i="7"/>
  <c r="Z47" i="7"/>
  <c r="AG46" i="7"/>
  <c r="AA46" i="7"/>
  <c r="Z46" i="7"/>
  <c r="AG45" i="7"/>
  <c r="Z45" i="7"/>
  <c r="AG44" i="7"/>
  <c r="AA44" i="7"/>
  <c r="Z44" i="7"/>
  <c r="AG43" i="7"/>
  <c r="Z43" i="7"/>
  <c r="AG42" i="7"/>
  <c r="AA42" i="7"/>
  <c r="AG41" i="7"/>
  <c r="AA41" i="7"/>
  <c r="Z41" i="7"/>
  <c r="AG40" i="7"/>
  <c r="AA40" i="7"/>
  <c r="AG39" i="7"/>
  <c r="AA39" i="7"/>
  <c r="AG38" i="7"/>
  <c r="AA38" i="7"/>
  <c r="AG37" i="7"/>
  <c r="AA37" i="7"/>
  <c r="AG36" i="7"/>
  <c r="AA36" i="7"/>
  <c r="Z36" i="7"/>
  <c r="AG35" i="7"/>
  <c r="Z35" i="7"/>
  <c r="AG34" i="7"/>
  <c r="Z34" i="7"/>
  <c r="AG33" i="7"/>
  <c r="Z33" i="7"/>
  <c r="AG32" i="7"/>
  <c r="Z32" i="7"/>
  <c r="AG31" i="7"/>
  <c r="AA31" i="7"/>
  <c r="Z31" i="7"/>
  <c r="AG30" i="7"/>
  <c r="AA30" i="7"/>
  <c r="Z30" i="7"/>
  <c r="AG29" i="7"/>
  <c r="Z29" i="7"/>
  <c r="AG28" i="7"/>
  <c r="AA28" i="7"/>
  <c r="AG27" i="7"/>
  <c r="AA27" i="7"/>
  <c r="Z27" i="7"/>
  <c r="AG26" i="7"/>
  <c r="AA26" i="7"/>
  <c r="AG25" i="7"/>
  <c r="Z25" i="7"/>
  <c r="AG24" i="7"/>
  <c r="AA24" i="7"/>
  <c r="AG23" i="7"/>
  <c r="AG22" i="7"/>
  <c r="Z22" i="7"/>
  <c r="AG21" i="7"/>
  <c r="AA21" i="7"/>
  <c r="Z21" i="7"/>
  <c r="AG20" i="7"/>
  <c r="AA20" i="7"/>
  <c r="Z20" i="7"/>
  <c r="AG19" i="7"/>
  <c r="AA19" i="7"/>
  <c r="AG18" i="7"/>
  <c r="AA18" i="7"/>
  <c r="Z18" i="7"/>
  <c r="AG17" i="7"/>
  <c r="Z17" i="7"/>
  <c r="AG16" i="7"/>
  <c r="AA16" i="7"/>
  <c r="AG15" i="7"/>
  <c r="Z15" i="7"/>
  <c r="AG14" i="7"/>
  <c r="AA14" i="7"/>
  <c r="AG13" i="7"/>
  <c r="AA13" i="7"/>
  <c r="Z13" i="7"/>
  <c r="AG12" i="7"/>
  <c r="AA12" i="7"/>
  <c r="AG11" i="7"/>
  <c r="AG10" i="7"/>
  <c r="AA10" i="7"/>
  <c r="Z10" i="7"/>
  <c r="AG9" i="7"/>
  <c r="AA9" i="7"/>
  <c r="AG8" i="7"/>
  <c r="AA8" i="7"/>
  <c r="AG7" i="7"/>
  <c r="AA7" i="7"/>
  <c r="Z7" i="7"/>
  <c r="AG6" i="7"/>
  <c r="AA6" i="7"/>
  <c r="AG5" i="7"/>
  <c r="AK56" i="7"/>
  <c r="AJ56" i="7"/>
  <c r="AF56" i="7"/>
  <c r="AE56" i="7"/>
  <c r="AC56" i="7"/>
  <c r="Y56" i="7"/>
  <c r="X56" i="7"/>
  <c r="W56" i="7"/>
  <c r="S56" i="7"/>
  <c r="R56" i="7"/>
  <c r="Q56" i="7"/>
  <c r="P56" i="7"/>
  <c r="O56" i="7"/>
  <c r="M56" i="7"/>
  <c r="L56" i="7"/>
  <c r="AK55" i="7"/>
  <c r="AF55" i="7"/>
  <c r="AC55" i="7"/>
  <c r="AA55" i="7"/>
  <c r="Z55" i="7"/>
  <c r="Y55" i="7"/>
  <c r="X55" i="7"/>
  <c r="W55" i="7"/>
  <c r="V55" i="7"/>
  <c r="U55" i="7"/>
  <c r="S55" i="7"/>
  <c r="R55" i="7"/>
  <c r="Q55" i="7"/>
  <c r="P55" i="7"/>
  <c r="O55" i="7"/>
  <c r="M55" i="7"/>
  <c r="L55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4" i="7"/>
  <c r="AP23" i="7"/>
  <c r="AP22" i="7"/>
  <c r="AP21" i="7"/>
  <c r="AA56" i="6"/>
  <c r="Z56" i="6"/>
  <c r="AK58" i="6"/>
  <c r="AK57" i="6"/>
  <c r="AK56" i="6"/>
  <c r="AK54" i="7" s="1"/>
  <c r="AF58" i="6"/>
  <c r="AF57" i="6"/>
  <c r="AF56" i="6"/>
  <c r="AE58" i="6"/>
  <c r="AE56" i="6"/>
  <c r="AD58" i="6"/>
  <c r="AC58" i="6"/>
  <c r="AC57" i="6"/>
  <c r="AC56" i="6"/>
  <c r="AA57" i="6"/>
  <c r="Z57" i="6"/>
  <c r="Y58" i="6"/>
  <c r="Y57" i="6"/>
  <c r="X58" i="6"/>
  <c r="X57" i="6"/>
  <c r="X56" i="6"/>
  <c r="W58" i="6"/>
  <c r="W57" i="6"/>
  <c r="V57" i="6"/>
  <c r="U57" i="6"/>
  <c r="U56" i="6"/>
  <c r="S58" i="6"/>
  <c r="S57" i="6"/>
  <c r="S56" i="6"/>
  <c r="S54" i="7" s="1"/>
  <c r="R58" i="6"/>
  <c r="R57" i="6"/>
  <c r="R56" i="6"/>
  <c r="Q58" i="6"/>
  <c r="Q57" i="6"/>
  <c r="Q56" i="6"/>
  <c r="P58" i="6"/>
  <c r="P57" i="6"/>
  <c r="P56" i="6"/>
  <c r="O58" i="6"/>
  <c r="O57" i="6"/>
  <c r="O56" i="6"/>
  <c r="M58" i="6"/>
  <c r="M57" i="6"/>
  <c r="M56" i="6"/>
  <c r="L58" i="6"/>
  <c r="L57" i="6"/>
  <c r="L56" i="6"/>
  <c r="AK16" i="6"/>
  <c r="AK15" i="6"/>
  <c r="AK10" i="6"/>
  <c r="AK9" i="6"/>
  <c r="AK6" i="6"/>
  <c r="AK5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4" i="6"/>
  <c r="AH23" i="6"/>
  <c r="AH22" i="6"/>
  <c r="AH21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4" i="6"/>
  <c r="S23" i="6"/>
  <c r="S22" i="6"/>
  <c r="S21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5" i="6"/>
  <c r="Q20" i="6"/>
  <c r="Q19" i="6"/>
  <c r="Q18" i="6"/>
  <c r="Q17" i="6"/>
  <c r="Q12" i="6"/>
  <c r="Q11" i="6"/>
  <c r="Q7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4" i="6"/>
  <c r="O23" i="6"/>
  <c r="O22" i="6"/>
  <c r="O21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P32" i="6"/>
  <c r="AP31" i="6"/>
  <c r="AP30" i="6"/>
  <c r="AP29" i="6"/>
  <c r="AP28" i="6"/>
  <c r="AP27" i="6"/>
  <c r="AP26" i="6"/>
  <c r="AP24" i="6"/>
  <c r="AP23" i="6"/>
  <c r="AP22" i="6"/>
  <c r="AP21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5" i="6"/>
  <c r="L20" i="6"/>
  <c r="L19" i="6"/>
  <c r="L18" i="6"/>
  <c r="L17" i="6"/>
  <c r="L12" i="6"/>
  <c r="L11" i="6"/>
  <c r="L7" i="6"/>
  <c r="P11" i="5"/>
  <c r="R11" i="5" s="1"/>
  <c r="P10" i="5"/>
  <c r="R10" i="5" s="1"/>
  <c r="P9" i="5"/>
  <c r="R9" i="5" s="1"/>
  <c r="F44" i="5"/>
  <c r="E44" i="5"/>
  <c r="D44" i="5"/>
  <c r="F26" i="5"/>
  <c r="AJ56" i="9" s="1"/>
  <c r="E26" i="5"/>
  <c r="AJ55" i="8" s="1"/>
  <c r="D26" i="5"/>
  <c r="AJ56" i="6" s="1"/>
  <c r="F25" i="5"/>
  <c r="AI58" i="6" s="1"/>
  <c r="E25" i="5"/>
  <c r="AI57" i="6" s="1"/>
  <c r="D25" i="5"/>
  <c r="D28" i="5" s="1"/>
  <c r="AL56" i="6" s="1"/>
  <c r="F24" i="5"/>
  <c r="E24" i="5"/>
  <c r="D24" i="5"/>
  <c r="AH56" i="6" s="1"/>
  <c r="D13" i="5"/>
  <c r="D18" i="5" s="1"/>
  <c r="AB56" i="6" s="1"/>
  <c r="F39" i="5"/>
  <c r="F17" i="5"/>
  <c r="F16" i="5"/>
  <c r="Z56" i="7" s="1"/>
  <c r="F12" i="5"/>
  <c r="V58" i="6" s="1"/>
  <c r="F11" i="5"/>
  <c r="U56" i="7" s="1"/>
  <c r="M15" i="5"/>
  <c r="M7" i="5"/>
  <c r="F36" i="5" s="1"/>
  <c r="F45" i="5"/>
  <c r="F43" i="5"/>
  <c r="D43" i="5"/>
  <c r="E41" i="5"/>
  <c r="D41" i="5"/>
  <c r="F23" i="5"/>
  <c r="AG56" i="7" s="1"/>
  <c r="D23" i="5"/>
  <c r="AG56" i="6" s="1"/>
  <c r="F20" i="5"/>
  <c r="AD56" i="7" s="1"/>
  <c r="E20" i="5"/>
  <c r="D20" i="5"/>
  <c r="AD56" i="6" s="1"/>
  <c r="E18" i="5"/>
  <c r="AB55" i="9" s="1"/>
  <c r="T38" i="4"/>
  <c r="S38" i="4"/>
  <c r="R38" i="4"/>
  <c r="Q38" i="4"/>
  <c r="P38" i="4"/>
  <c r="O38" i="4"/>
  <c r="N38" i="4"/>
  <c r="M38" i="4"/>
  <c r="L38" i="4"/>
  <c r="K38" i="4"/>
  <c r="J38" i="4"/>
  <c r="I38" i="4"/>
  <c r="T37" i="4"/>
  <c r="S37" i="4"/>
  <c r="R37" i="4"/>
  <c r="Q37" i="4"/>
  <c r="P37" i="4"/>
  <c r="O37" i="4"/>
  <c r="N37" i="4"/>
  <c r="M37" i="4"/>
  <c r="L37" i="4"/>
  <c r="K37" i="4"/>
  <c r="J37" i="4"/>
  <c r="I37" i="4"/>
  <c r="U37" i="4" s="1"/>
  <c r="T36" i="4"/>
  <c r="S36" i="4"/>
  <c r="R36" i="4"/>
  <c r="Q36" i="4"/>
  <c r="P36" i="4"/>
  <c r="O36" i="4"/>
  <c r="N36" i="4"/>
  <c r="M36" i="4"/>
  <c r="L36" i="4"/>
  <c r="K36" i="4"/>
  <c r="J36" i="4"/>
  <c r="I36" i="4"/>
  <c r="U36" i="4" s="1"/>
  <c r="T35" i="4"/>
  <c r="S35" i="4"/>
  <c r="R35" i="4"/>
  <c r="Q35" i="4"/>
  <c r="P35" i="4"/>
  <c r="O35" i="4"/>
  <c r="N35" i="4"/>
  <c r="M35" i="4"/>
  <c r="L35" i="4"/>
  <c r="K35" i="4"/>
  <c r="J35" i="4"/>
  <c r="I35" i="4"/>
  <c r="U35" i="4" s="1"/>
  <c r="T34" i="4"/>
  <c r="S34" i="4"/>
  <c r="R34" i="4"/>
  <c r="Q34" i="4"/>
  <c r="P34" i="4"/>
  <c r="O34" i="4"/>
  <c r="N34" i="4"/>
  <c r="M34" i="4"/>
  <c r="L34" i="4"/>
  <c r="K34" i="4"/>
  <c r="J34" i="4"/>
  <c r="I34" i="4"/>
  <c r="U34" i="4" s="1"/>
  <c r="T33" i="4"/>
  <c r="S33" i="4"/>
  <c r="R33" i="4"/>
  <c r="Q33" i="4"/>
  <c r="P33" i="4"/>
  <c r="O33" i="4"/>
  <c r="N33" i="4"/>
  <c r="M33" i="4"/>
  <c r="L33" i="4"/>
  <c r="K33" i="4"/>
  <c r="J33" i="4"/>
  <c r="I33" i="4"/>
  <c r="U33" i="4" s="1"/>
  <c r="T32" i="4"/>
  <c r="S32" i="4"/>
  <c r="R32" i="4"/>
  <c r="Q32" i="4"/>
  <c r="P32" i="4"/>
  <c r="O32" i="4"/>
  <c r="N32" i="4"/>
  <c r="M32" i="4"/>
  <c r="L32" i="4"/>
  <c r="K32" i="4"/>
  <c r="J32" i="4"/>
  <c r="I32" i="4"/>
  <c r="U32" i="4" s="1"/>
  <c r="T31" i="4"/>
  <c r="S31" i="4"/>
  <c r="R31" i="4"/>
  <c r="Q31" i="4"/>
  <c r="P31" i="4"/>
  <c r="O31" i="4"/>
  <c r="N31" i="4"/>
  <c r="M31" i="4"/>
  <c r="L31" i="4"/>
  <c r="K31" i="4"/>
  <c r="J31" i="4"/>
  <c r="I31" i="4"/>
  <c r="U31" i="4" s="1"/>
  <c r="T30" i="4"/>
  <c r="S30" i="4"/>
  <c r="R30" i="4"/>
  <c r="Q30" i="4"/>
  <c r="P30" i="4"/>
  <c r="O30" i="4"/>
  <c r="N30" i="4"/>
  <c r="M30" i="4"/>
  <c r="L30" i="4"/>
  <c r="K30" i="4"/>
  <c r="J30" i="4"/>
  <c r="I30" i="4"/>
  <c r="U30" i="4" s="1"/>
  <c r="T29" i="4"/>
  <c r="S29" i="4"/>
  <c r="R29" i="4"/>
  <c r="Q29" i="4"/>
  <c r="P29" i="4"/>
  <c r="O29" i="4"/>
  <c r="N29" i="4"/>
  <c r="M29" i="4"/>
  <c r="L29" i="4"/>
  <c r="K29" i="4"/>
  <c r="J29" i="4"/>
  <c r="I29" i="4"/>
  <c r="U29" i="4" s="1"/>
  <c r="T28" i="4"/>
  <c r="S28" i="4"/>
  <c r="R28" i="4"/>
  <c r="Q28" i="4"/>
  <c r="P28" i="4"/>
  <c r="O28" i="4"/>
  <c r="N28" i="4"/>
  <c r="M28" i="4"/>
  <c r="L28" i="4"/>
  <c r="K28" i="4"/>
  <c r="J28" i="4"/>
  <c r="I28" i="4"/>
  <c r="U28" i="4" s="1"/>
  <c r="T27" i="4"/>
  <c r="S27" i="4"/>
  <c r="R27" i="4"/>
  <c r="Q27" i="4"/>
  <c r="P27" i="4"/>
  <c r="O27" i="4"/>
  <c r="N27" i="4"/>
  <c r="M27" i="4"/>
  <c r="L27" i="4"/>
  <c r="K27" i="4"/>
  <c r="J27" i="4"/>
  <c r="I27" i="4"/>
  <c r="U27" i="4" s="1"/>
  <c r="T26" i="4"/>
  <c r="S26" i="4"/>
  <c r="R26" i="4"/>
  <c r="Q26" i="4"/>
  <c r="P26" i="4"/>
  <c r="O26" i="4"/>
  <c r="N26" i="4"/>
  <c r="M26" i="4"/>
  <c r="L26" i="4"/>
  <c r="K26" i="4"/>
  <c r="J26" i="4"/>
  <c r="I26" i="4"/>
  <c r="U26" i="4" s="1"/>
  <c r="T25" i="4"/>
  <c r="S25" i="4"/>
  <c r="R25" i="4"/>
  <c r="Q25" i="4"/>
  <c r="P25" i="4"/>
  <c r="O25" i="4"/>
  <c r="N25" i="4"/>
  <c r="M25" i="4"/>
  <c r="L25" i="4"/>
  <c r="K25" i="4"/>
  <c r="J25" i="4"/>
  <c r="I25" i="4"/>
  <c r="U25" i="4" s="1"/>
  <c r="T24" i="4"/>
  <c r="S24" i="4"/>
  <c r="R24" i="4"/>
  <c r="Q24" i="4"/>
  <c r="P24" i="4"/>
  <c r="O24" i="4"/>
  <c r="N24" i="4"/>
  <c r="M24" i="4"/>
  <c r="L24" i="4"/>
  <c r="K24" i="4"/>
  <c r="J24" i="4"/>
  <c r="I24" i="4"/>
  <c r="U24" i="4" s="1"/>
  <c r="T23" i="4"/>
  <c r="S23" i="4"/>
  <c r="R23" i="4"/>
  <c r="Q23" i="4"/>
  <c r="P23" i="4"/>
  <c r="O23" i="4"/>
  <c r="N23" i="4"/>
  <c r="M23" i="4"/>
  <c r="L23" i="4"/>
  <c r="K23" i="4"/>
  <c r="J23" i="4"/>
  <c r="I23" i="4"/>
  <c r="U23" i="4" s="1"/>
  <c r="T22" i="4"/>
  <c r="S22" i="4"/>
  <c r="R22" i="4"/>
  <c r="Q22" i="4"/>
  <c r="P22" i="4"/>
  <c r="O22" i="4"/>
  <c r="N22" i="4"/>
  <c r="M22" i="4"/>
  <c r="L22" i="4"/>
  <c r="K22" i="4"/>
  <c r="J22" i="4"/>
  <c r="I22" i="4"/>
  <c r="U22" i="4" s="1"/>
  <c r="T21" i="4"/>
  <c r="S21" i="4"/>
  <c r="R21" i="4"/>
  <c r="Q21" i="4"/>
  <c r="P21" i="4"/>
  <c r="O21" i="4"/>
  <c r="N21" i="4"/>
  <c r="M21" i="4"/>
  <c r="L21" i="4"/>
  <c r="K21" i="4"/>
  <c r="J21" i="4"/>
  <c r="I21" i="4"/>
  <c r="U21" i="4" s="1"/>
  <c r="T20" i="4"/>
  <c r="S20" i="4"/>
  <c r="R20" i="4"/>
  <c r="Q20" i="4"/>
  <c r="P20" i="4"/>
  <c r="O20" i="4"/>
  <c r="N20" i="4"/>
  <c r="M20" i="4"/>
  <c r="L20" i="4"/>
  <c r="K20" i="4"/>
  <c r="J20" i="4"/>
  <c r="I20" i="4"/>
  <c r="U20" i="4" s="1"/>
  <c r="T19" i="4"/>
  <c r="S19" i="4"/>
  <c r="R19" i="4"/>
  <c r="Q19" i="4"/>
  <c r="P19" i="4"/>
  <c r="O19" i="4"/>
  <c r="N19" i="4"/>
  <c r="M19" i="4"/>
  <c r="L19" i="4"/>
  <c r="K19" i="4"/>
  <c r="J19" i="4"/>
  <c r="I19" i="4"/>
  <c r="U19" i="4" s="1"/>
  <c r="T18" i="4"/>
  <c r="S18" i="4"/>
  <c r="R18" i="4"/>
  <c r="Q18" i="4"/>
  <c r="P18" i="4"/>
  <c r="O18" i="4"/>
  <c r="N18" i="4"/>
  <c r="M18" i="4"/>
  <c r="L18" i="4"/>
  <c r="K18" i="4"/>
  <c r="J18" i="4"/>
  <c r="I18" i="4"/>
  <c r="U18" i="4" s="1"/>
  <c r="T17" i="4"/>
  <c r="S17" i="4"/>
  <c r="R17" i="4"/>
  <c r="Q17" i="4"/>
  <c r="P17" i="4"/>
  <c r="O17" i="4"/>
  <c r="N17" i="4"/>
  <c r="M17" i="4"/>
  <c r="L17" i="4"/>
  <c r="K17" i="4"/>
  <c r="J17" i="4"/>
  <c r="I17" i="4"/>
  <c r="U17" i="4" s="1"/>
  <c r="T16" i="4"/>
  <c r="S16" i="4"/>
  <c r="R16" i="4"/>
  <c r="Q16" i="4"/>
  <c r="P16" i="4"/>
  <c r="O16" i="4"/>
  <c r="N16" i="4"/>
  <c r="M16" i="4"/>
  <c r="L16" i="4"/>
  <c r="K16" i="4"/>
  <c r="J16" i="4"/>
  <c r="I16" i="4"/>
  <c r="U16" i="4" s="1"/>
  <c r="T15" i="4"/>
  <c r="S15" i="4"/>
  <c r="R15" i="4"/>
  <c r="Q15" i="4"/>
  <c r="P15" i="4"/>
  <c r="O15" i="4"/>
  <c r="N15" i="4"/>
  <c r="M15" i="4"/>
  <c r="L15" i="4"/>
  <c r="K15" i="4"/>
  <c r="J15" i="4"/>
  <c r="I15" i="4"/>
  <c r="U15" i="4" s="1"/>
  <c r="T14" i="4"/>
  <c r="S14" i="4"/>
  <c r="R14" i="4"/>
  <c r="Q14" i="4"/>
  <c r="P14" i="4"/>
  <c r="O14" i="4"/>
  <c r="N14" i="4"/>
  <c r="M14" i="4"/>
  <c r="L14" i="4"/>
  <c r="K14" i="4"/>
  <c r="J14" i="4"/>
  <c r="I14" i="4"/>
  <c r="U14" i="4" s="1"/>
  <c r="T13" i="4"/>
  <c r="S13" i="4"/>
  <c r="R13" i="4"/>
  <c r="Q13" i="4"/>
  <c r="P13" i="4"/>
  <c r="O13" i="4"/>
  <c r="N13" i="4"/>
  <c r="M13" i="4"/>
  <c r="L13" i="4"/>
  <c r="K13" i="4"/>
  <c r="J13" i="4"/>
  <c r="I13" i="4"/>
  <c r="U13" i="4" s="1"/>
  <c r="T12" i="4"/>
  <c r="S12" i="4"/>
  <c r="R12" i="4"/>
  <c r="Q12" i="4"/>
  <c r="P12" i="4"/>
  <c r="O12" i="4"/>
  <c r="N12" i="4"/>
  <c r="M12" i="4"/>
  <c r="L12" i="4"/>
  <c r="K12" i="4"/>
  <c r="J12" i="4"/>
  <c r="I12" i="4"/>
  <c r="U12" i="4" s="1"/>
  <c r="T11" i="4"/>
  <c r="S11" i="4"/>
  <c r="R11" i="4"/>
  <c r="Q11" i="4"/>
  <c r="P11" i="4"/>
  <c r="O11" i="4"/>
  <c r="N11" i="4"/>
  <c r="M11" i="4"/>
  <c r="L11" i="4"/>
  <c r="K11" i="4"/>
  <c r="J11" i="4"/>
  <c r="I11" i="4"/>
  <c r="U11" i="4" s="1"/>
  <c r="T10" i="4"/>
  <c r="S10" i="4"/>
  <c r="R10" i="4"/>
  <c r="Q10" i="4"/>
  <c r="P10" i="4"/>
  <c r="O10" i="4"/>
  <c r="N10" i="4"/>
  <c r="M10" i="4"/>
  <c r="L10" i="4"/>
  <c r="K10" i="4"/>
  <c r="J10" i="4"/>
  <c r="I10" i="4"/>
  <c r="U10" i="4" s="1"/>
  <c r="T9" i="4"/>
  <c r="S9" i="4"/>
  <c r="R9" i="4"/>
  <c r="Q9" i="4"/>
  <c r="P9" i="4"/>
  <c r="O9" i="4"/>
  <c r="N9" i="4"/>
  <c r="M9" i="4"/>
  <c r="L9" i="4"/>
  <c r="K9" i="4"/>
  <c r="J9" i="4"/>
  <c r="I9" i="4"/>
  <c r="U9" i="4" s="1"/>
  <c r="T8" i="4"/>
  <c r="S8" i="4"/>
  <c r="R8" i="4"/>
  <c r="Q8" i="4"/>
  <c r="P8" i="4"/>
  <c r="O8" i="4"/>
  <c r="N8" i="4"/>
  <c r="M8" i="4"/>
  <c r="L8" i="4"/>
  <c r="K8" i="4"/>
  <c r="J8" i="4"/>
  <c r="I8" i="4"/>
  <c r="U8" i="4" s="1"/>
  <c r="T7" i="4"/>
  <c r="S7" i="4"/>
  <c r="R7" i="4"/>
  <c r="Q7" i="4"/>
  <c r="P7" i="4"/>
  <c r="O7" i="4"/>
  <c r="N7" i="4"/>
  <c r="M7" i="4"/>
  <c r="L7" i="4"/>
  <c r="K7" i="4"/>
  <c r="J7" i="4"/>
  <c r="I7" i="4"/>
  <c r="U7" i="4" s="1"/>
  <c r="T6" i="4"/>
  <c r="S6" i="4"/>
  <c r="R6" i="4"/>
  <c r="Q6" i="4"/>
  <c r="P6" i="4"/>
  <c r="O6" i="4"/>
  <c r="N6" i="4"/>
  <c r="M6" i="4"/>
  <c r="L6" i="4"/>
  <c r="K6" i="4"/>
  <c r="J6" i="4"/>
  <c r="I6" i="4"/>
  <c r="U6" i="4" s="1"/>
  <c r="T5" i="4"/>
  <c r="S5" i="4"/>
  <c r="R5" i="4"/>
  <c r="Q5" i="4"/>
  <c r="P5" i="4"/>
  <c r="O5" i="4"/>
  <c r="N5" i="4"/>
  <c r="M5" i="4"/>
  <c r="L5" i="4"/>
  <c r="K5" i="4"/>
  <c r="J5" i="4"/>
  <c r="I5" i="4"/>
  <c r="U5" i="4" s="1"/>
  <c r="T4" i="4"/>
  <c r="S4" i="4"/>
  <c r="R4" i="4"/>
  <c r="Q4" i="4"/>
  <c r="P4" i="4"/>
  <c r="O4" i="4"/>
  <c r="N4" i="4"/>
  <c r="M4" i="4"/>
  <c r="L4" i="4"/>
  <c r="K4" i="4"/>
  <c r="J4" i="4"/>
  <c r="I4" i="4"/>
  <c r="U4" i="4" s="1"/>
  <c r="T3" i="4"/>
  <c r="S3" i="4"/>
  <c r="R3" i="4"/>
  <c r="Q3" i="4"/>
  <c r="P3" i="4"/>
  <c r="O3" i="4"/>
  <c r="N3" i="4"/>
  <c r="M3" i="4"/>
  <c r="L3" i="4"/>
  <c r="K3" i="4"/>
  <c r="J3" i="4"/>
  <c r="I3" i="4"/>
  <c r="U3" i="4" s="1"/>
  <c r="T2" i="4"/>
  <c r="S2" i="4"/>
  <c r="R2" i="4"/>
  <c r="Q2" i="4"/>
  <c r="P2" i="4"/>
  <c r="O2" i="4"/>
  <c r="N2" i="4"/>
  <c r="M2" i="4"/>
  <c r="L2" i="4"/>
  <c r="K2" i="4"/>
  <c r="J2" i="4"/>
  <c r="I2" i="4"/>
  <c r="U2" i="4" s="1"/>
  <c r="T48" i="3"/>
  <c r="S48" i="3"/>
  <c r="R48" i="3"/>
  <c r="Q48" i="3"/>
  <c r="P48" i="3"/>
  <c r="O48" i="3"/>
  <c r="N48" i="3"/>
  <c r="M48" i="3"/>
  <c r="L48" i="3"/>
  <c r="K48" i="3"/>
  <c r="J48" i="3"/>
  <c r="I48" i="3"/>
  <c r="U48" i="3" s="1"/>
  <c r="T47" i="3"/>
  <c r="S47" i="3"/>
  <c r="R47" i="3"/>
  <c r="Q47" i="3"/>
  <c r="P47" i="3"/>
  <c r="O47" i="3"/>
  <c r="N47" i="3"/>
  <c r="M47" i="3"/>
  <c r="L47" i="3"/>
  <c r="K47" i="3"/>
  <c r="J47" i="3"/>
  <c r="I47" i="3"/>
  <c r="U47" i="3" s="1"/>
  <c r="T46" i="3"/>
  <c r="S46" i="3"/>
  <c r="R46" i="3"/>
  <c r="Q46" i="3"/>
  <c r="P46" i="3"/>
  <c r="O46" i="3"/>
  <c r="N46" i="3"/>
  <c r="M46" i="3"/>
  <c r="L46" i="3"/>
  <c r="K46" i="3"/>
  <c r="J46" i="3"/>
  <c r="I46" i="3"/>
  <c r="U46" i="3" s="1"/>
  <c r="T45" i="3"/>
  <c r="S45" i="3"/>
  <c r="R45" i="3"/>
  <c r="Q45" i="3"/>
  <c r="P45" i="3"/>
  <c r="O45" i="3"/>
  <c r="N45" i="3"/>
  <c r="M45" i="3"/>
  <c r="L45" i="3"/>
  <c r="K45" i="3"/>
  <c r="J45" i="3"/>
  <c r="I45" i="3"/>
  <c r="U45" i="3" s="1"/>
  <c r="T44" i="3"/>
  <c r="S44" i="3"/>
  <c r="R44" i="3"/>
  <c r="Q44" i="3"/>
  <c r="P44" i="3"/>
  <c r="O44" i="3"/>
  <c r="N44" i="3"/>
  <c r="M44" i="3"/>
  <c r="L44" i="3"/>
  <c r="K44" i="3"/>
  <c r="J44" i="3"/>
  <c r="I44" i="3"/>
  <c r="U44" i="3" s="1"/>
  <c r="T43" i="3"/>
  <c r="S43" i="3"/>
  <c r="R43" i="3"/>
  <c r="Q43" i="3"/>
  <c r="P43" i="3"/>
  <c r="O43" i="3"/>
  <c r="N43" i="3"/>
  <c r="M43" i="3"/>
  <c r="L43" i="3"/>
  <c r="K43" i="3"/>
  <c r="J43" i="3"/>
  <c r="I43" i="3"/>
  <c r="U43" i="3" s="1"/>
  <c r="T42" i="3"/>
  <c r="S42" i="3"/>
  <c r="R42" i="3"/>
  <c r="Q42" i="3"/>
  <c r="P42" i="3"/>
  <c r="O42" i="3"/>
  <c r="N42" i="3"/>
  <c r="M42" i="3"/>
  <c r="L42" i="3"/>
  <c r="K42" i="3"/>
  <c r="J42" i="3"/>
  <c r="I42" i="3"/>
  <c r="U42" i="3" s="1"/>
  <c r="T41" i="3"/>
  <c r="S41" i="3"/>
  <c r="R41" i="3"/>
  <c r="Q41" i="3"/>
  <c r="P41" i="3"/>
  <c r="O41" i="3"/>
  <c r="N41" i="3"/>
  <c r="M41" i="3"/>
  <c r="L41" i="3"/>
  <c r="K41" i="3"/>
  <c r="J41" i="3"/>
  <c r="I41" i="3"/>
  <c r="U41" i="3" s="1"/>
  <c r="T40" i="3"/>
  <c r="S40" i="3"/>
  <c r="R40" i="3"/>
  <c r="Q40" i="3"/>
  <c r="P40" i="3"/>
  <c r="O40" i="3"/>
  <c r="N40" i="3"/>
  <c r="M40" i="3"/>
  <c r="L40" i="3"/>
  <c r="K40" i="3"/>
  <c r="J40" i="3"/>
  <c r="I40" i="3"/>
  <c r="U40" i="3" s="1"/>
  <c r="T39" i="3"/>
  <c r="S39" i="3"/>
  <c r="R39" i="3"/>
  <c r="Q39" i="3"/>
  <c r="P39" i="3"/>
  <c r="O39" i="3"/>
  <c r="N39" i="3"/>
  <c r="M39" i="3"/>
  <c r="L39" i="3"/>
  <c r="K39" i="3"/>
  <c r="J39" i="3"/>
  <c r="I39" i="3"/>
  <c r="U39" i="3" s="1"/>
  <c r="T38" i="3"/>
  <c r="S38" i="3"/>
  <c r="R38" i="3"/>
  <c r="Q38" i="3"/>
  <c r="P38" i="3"/>
  <c r="O38" i="3"/>
  <c r="N38" i="3"/>
  <c r="M38" i="3"/>
  <c r="L38" i="3"/>
  <c r="K38" i="3"/>
  <c r="J38" i="3"/>
  <c r="I38" i="3"/>
  <c r="U38" i="3" s="1"/>
  <c r="T37" i="3"/>
  <c r="S37" i="3"/>
  <c r="R37" i="3"/>
  <c r="Q37" i="3"/>
  <c r="P37" i="3"/>
  <c r="O37" i="3"/>
  <c r="N37" i="3"/>
  <c r="M37" i="3"/>
  <c r="L37" i="3"/>
  <c r="K37" i="3"/>
  <c r="J37" i="3"/>
  <c r="I37" i="3"/>
  <c r="U37" i="3" s="1"/>
  <c r="T36" i="3"/>
  <c r="S36" i="3"/>
  <c r="R36" i="3"/>
  <c r="Q36" i="3"/>
  <c r="P36" i="3"/>
  <c r="O36" i="3"/>
  <c r="N36" i="3"/>
  <c r="M36" i="3"/>
  <c r="L36" i="3"/>
  <c r="K36" i="3"/>
  <c r="J36" i="3"/>
  <c r="I36" i="3"/>
  <c r="U36" i="3" s="1"/>
  <c r="T35" i="3"/>
  <c r="S35" i="3"/>
  <c r="R35" i="3"/>
  <c r="Q35" i="3"/>
  <c r="P35" i="3"/>
  <c r="O35" i="3"/>
  <c r="N35" i="3"/>
  <c r="M35" i="3"/>
  <c r="L35" i="3"/>
  <c r="K35" i="3"/>
  <c r="J35" i="3"/>
  <c r="I35" i="3"/>
  <c r="U35" i="3" s="1"/>
  <c r="T34" i="3"/>
  <c r="S34" i="3"/>
  <c r="R34" i="3"/>
  <c r="Q34" i="3"/>
  <c r="P34" i="3"/>
  <c r="O34" i="3"/>
  <c r="N34" i="3"/>
  <c r="M34" i="3"/>
  <c r="L34" i="3"/>
  <c r="K34" i="3"/>
  <c r="J34" i="3"/>
  <c r="I34" i="3"/>
  <c r="U34" i="3" s="1"/>
  <c r="T33" i="3"/>
  <c r="S33" i="3"/>
  <c r="R33" i="3"/>
  <c r="Q33" i="3"/>
  <c r="P33" i="3"/>
  <c r="O33" i="3"/>
  <c r="N33" i="3"/>
  <c r="M33" i="3"/>
  <c r="L33" i="3"/>
  <c r="K33" i="3"/>
  <c r="J33" i="3"/>
  <c r="I33" i="3"/>
  <c r="U33" i="3" s="1"/>
  <c r="T32" i="3"/>
  <c r="S32" i="3"/>
  <c r="R32" i="3"/>
  <c r="Q32" i="3"/>
  <c r="P32" i="3"/>
  <c r="O32" i="3"/>
  <c r="N32" i="3"/>
  <c r="M32" i="3"/>
  <c r="L32" i="3"/>
  <c r="K32" i="3"/>
  <c r="J32" i="3"/>
  <c r="I32" i="3"/>
  <c r="U32" i="3" s="1"/>
  <c r="T31" i="3"/>
  <c r="S31" i="3"/>
  <c r="R31" i="3"/>
  <c r="Q31" i="3"/>
  <c r="P31" i="3"/>
  <c r="O31" i="3"/>
  <c r="N31" i="3"/>
  <c r="M31" i="3"/>
  <c r="L31" i="3"/>
  <c r="K31" i="3"/>
  <c r="J31" i="3"/>
  <c r="I31" i="3"/>
  <c r="U31" i="3" s="1"/>
  <c r="T30" i="3"/>
  <c r="S30" i="3"/>
  <c r="R30" i="3"/>
  <c r="Q30" i="3"/>
  <c r="P30" i="3"/>
  <c r="O30" i="3"/>
  <c r="N30" i="3"/>
  <c r="M30" i="3"/>
  <c r="L30" i="3"/>
  <c r="K30" i="3"/>
  <c r="J30" i="3"/>
  <c r="I30" i="3"/>
  <c r="U30" i="3" s="1"/>
  <c r="T29" i="3"/>
  <c r="S29" i="3"/>
  <c r="R29" i="3"/>
  <c r="Q29" i="3"/>
  <c r="P29" i="3"/>
  <c r="O29" i="3"/>
  <c r="N29" i="3"/>
  <c r="M29" i="3"/>
  <c r="L29" i="3"/>
  <c r="K29" i="3"/>
  <c r="J29" i="3"/>
  <c r="I29" i="3"/>
  <c r="U29" i="3" s="1"/>
  <c r="T28" i="3"/>
  <c r="S28" i="3"/>
  <c r="R28" i="3"/>
  <c r="Q28" i="3"/>
  <c r="P28" i="3"/>
  <c r="O28" i="3"/>
  <c r="N28" i="3"/>
  <c r="M28" i="3"/>
  <c r="L28" i="3"/>
  <c r="K28" i="3"/>
  <c r="J28" i="3"/>
  <c r="I28" i="3"/>
  <c r="U28" i="3" s="1"/>
  <c r="T27" i="3"/>
  <c r="S27" i="3"/>
  <c r="R27" i="3"/>
  <c r="Q27" i="3"/>
  <c r="P27" i="3"/>
  <c r="O27" i="3"/>
  <c r="N27" i="3"/>
  <c r="M27" i="3"/>
  <c r="L27" i="3"/>
  <c r="K27" i="3"/>
  <c r="J27" i="3"/>
  <c r="I27" i="3"/>
  <c r="U27" i="3" s="1"/>
  <c r="T26" i="3"/>
  <c r="S26" i="3"/>
  <c r="R26" i="3"/>
  <c r="Q26" i="3"/>
  <c r="P26" i="3"/>
  <c r="O26" i="3"/>
  <c r="N26" i="3"/>
  <c r="M26" i="3"/>
  <c r="L26" i="3"/>
  <c r="K26" i="3"/>
  <c r="J26" i="3"/>
  <c r="I26" i="3"/>
  <c r="U26" i="3" s="1"/>
  <c r="T25" i="3"/>
  <c r="S25" i="3"/>
  <c r="R25" i="3"/>
  <c r="Q25" i="3"/>
  <c r="P25" i="3"/>
  <c r="O25" i="3"/>
  <c r="N25" i="3"/>
  <c r="M25" i="3"/>
  <c r="L25" i="3"/>
  <c r="K25" i="3"/>
  <c r="J25" i="3"/>
  <c r="I25" i="3"/>
  <c r="U25" i="3" s="1"/>
  <c r="T24" i="3"/>
  <c r="S24" i="3"/>
  <c r="R24" i="3"/>
  <c r="Q24" i="3"/>
  <c r="P24" i="3"/>
  <c r="O24" i="3"/>
  <c r="N24" i="3"/>
  <c r="M24" i="3"/>
  <c r="L24" i="3"/>
  <c r="K24" i="3"/>
  <c r="J24" i="3"/>
  <c r="I24" i="3"/>
  <c r="U24" i="3" s="1"/>
  <c r="T23" i="3"/>
  <c r="S23" i="3"/>
  <c r="R23" i="3"/>
  <c r="Q23" i="3"/>
  <c r="P23" i="3"/>
  <c r="O23" i="3"/>
  <c r="N23" i="3"/>
  <c r="M23" i="3"/>
  <c r="L23" i="3"/>
  <c r="K23" i="3"/>
  <c r="J23" i="3"/>
  <c r="I23" i="3"/>
  <c r="U23" i="3" s="1"/>
  <c r="T22" i="3"/>
  <c r="S22" i="3"/>
  <c r="R22" i="3"/>
  <c r="Q22" i="3"/>
  <c r="P22" i="3"/>
  <c r="O22" i="3"/>
  <c r="N22" i="3"/>
  <c r="M22" i="3"/>
  <c r="L22" i="3"/>
  <c r="K22" i="3"/>
  <c r="J22" i="3"/>
  <c r="I22" i="3"/>
  <c r="U22" i="3" s="1"/>
  <c r="T21" i="3"/>
  <c r="S21" i="3"/>
  <c r="R21" i="3"/>
  <c r="Q21" i="3"/>
  <c r="P21" i="3"/>
  <c r="O21" i="3"/>
  <c r="N21" i="3"/>
  <c r="M21" i="3"/>
  <c r="L21" i="3"/>
  <c r="K21" i="3"/>
  <c r="J21" i="3"/>
  <c r="I21" i="3"/>
  <c r="U21" i="3" s="1"/>
  <c r="T20" i="3"/>
  <c r="S20" i="3"/>
  <c r="R20" i="3"/>
  <c r="Q20" i="3"/>
  <c r="P20" i="3"/>
  <c r="O20" i="3"/>
  <c r="N20" i="3"/>
  <c r="M20" i="3"/>
  <c r="L20" i="3"/>
  <c r="K20" i="3"/>
  <c r="J20" i="3"/>
  <c r="I20" i="3"/>
  <c r="U20" i="3" s="1"/>
  <c r="T19" i="3"/>
  <c r="S19" i="3"/>
  <c r="R19" i="3"/>
  <c r="Q19" i="3"/>
  <c r="P19" i="3"/>
  <c r="O19" i="3"/>
  <c r="N19" i="3"/>
  <c r="M19" i="3"/>
  <c r="L19" i="3"/>
  <c r="K19" i="3"/>
  <c r="J19" i="3"/>
  <c r="I19" i="3"/>
  <c r="U19" i="3" s="1"/>
  <c r="T18" i="3"/>
  <c r="S18" i="3"/>
  <c r="R18" i="3"/>
  <c r="Q18" i="3"/>
  <c r="P18" i="3"/>
  <c r="O18" i="3"/>
  <c r="N18" i="3"/>
  <c r="M18" i="3"/>
  <c r="L18" i="3"/>
  <c r="K18" i="3"/>
  <c r="J18" i="3"/>
  <c r="I18" i="3"/>
  <c r="U18" i="3" s="1"/>
  <c r="T17" i="3"/>
  <c r="S17" i="3"/>
  <c r="R17" i="3"/>
  <c r="Q17" i="3"/>
  <c r="P17" i="3"/>
  <c r="O17" i="3"/>
  <c r="N17" i="3"/>
  <c r="M17" i="3"/>
  <c r="L17" i="3"/>
  <c r="K17" i="3"/>
  <c r="J17" i="3"/>
  <c r="I17" i="3"/>
  <c r="U17" i="3" s="1"/>
  <c r="T16" i="3"/>
  <c r="S16" i="3"/>
  <c r="R16" i="3"/>
  <c r="Q16" i="3"/>
  <c r="P16" i="3"/>
  <c r="O16" i="3"/>
  <c r="N16" i="3"/>
  <c r="M16" i="3"/>
  <c r="L16" i="3"/>
  <c r="K16" i="3"/>
  <c r="J16" i="3"/>
  <c r="I16" i="3"/>
  <c r="U16" i="3" s="1"/>
  <c r="T15" i="3"/>
  <c r="S15" i="3"/>
  <c r="R15" i="3"/>
  <c r="Q15" i="3"/>
  <c r="P15" i="3"/>
  <c r="O15" i="3"/>
  <c r="N15" i="3"/>
  <c r="M15" i="3"/>
  <c r="L15" i="3"/>
  <c r="K15" i="3"/>
  <c r="J15" i="3"/>
  <c r="I15" i="3"/>
  <c r="U15" i="3" s="1"/>
  <c r="T14" i="3"/>
  <c r="S14" i="3"/>
  <c r="R14" i="3"/>
  <c r="Q14" i="3"/>
  <c r="P14" i="3"/>
  <c r="O14" i="3"/>
  <c r="N14" i="3"/>
  <c r="M14" i="3"/>
  <c r="L14" i="3"/>
  <c r="K14" i="3"/>
  <c r="J14" i="3"/>
  <c r="I14" i="3"/>
  <c r="U14" i="3" s="1"/>
  <c r="T13" i="3"/>
  <c r="S13" i="3"/>
  <c r="R13" i="3"/>
  <c r="Q13" i="3"/>
  <c r="P13" i="3"/>
  <c r="O13" i="3"/>
  <c r="N13" i="3"/>
  <c r="M13" i="3"/>
  <c r="L13" i="3"/>
  <c r="K13" i="3"/>
  <c r="J13" i="3"/>
  <c r="I13" i="3"/>
  <c r="U13" i="3" s="1"/>
  <c r="T12" i="3"/>
  <c r="S12" i="3"/>
  <c r="R12" i="3"/>
  <c r="Q12" i="3"/>
  <c r="P12" i="3"/>
  <c r="O12" i="3"/>
  <c r="N12" i="3"/>
  <c r="M12" i="3"/>
  <c r="L12" i="3"/>
  <c r="K12" i="3"/>
  <c r="J12" i="3"/>
  <c r="I12" i="3"/>
  <c r="T11" i="3"/>
  <c r="S11" i="3"/>
  <c r="R11" i="3"/>
  <c r="Q11" i="3"/>
  <c r="P11" i="3"/>
  <c r="O11" i="3"/>
  <c r="N11" i="3"/>
  <c r="M11" i="3"/>
  <c r="L11" i="3"/>
  <c r="K11" i="3"/>
  <c r="J11" i="3"/>
  <c r="I11" i="3"/>
  <c r="U11" i="3" s="1"/>
  <c r="T10" i="3"/>
  <c r="S10" i="3"/>
  <c r="R10" i="3"/>
  <c r="Q10" i="3"/>
  <c r="P10" i="3"/>
  <c r="O10" i="3"/>
  <c r="N10" i="3"/>
  <c r="M10" i="3"/>
  <c r="L10" i="3"/>
  <c r="K10" i="3"/>
  <c r="J10" i="3"/>
  <c r="I10" i="3"/>
  <c r="U10" i="3" s="1"/>
  <c r="T9" i="3"/>
  <c r="S9" i="3"/>
  <c r="R9" i="3"/>
  <c r="Q9" i="3"/>
  <c r="P9" i="3"/>
  <c r="O9" i="3"/>
  <c r="N9" i="3"/>
  <c r="M9" i="3"/>
  <c r="L9" i="3"/>
  <c r="K9" i="3"/>
  <c r="J9" i="3"/>
  <c r="I9" i="3"/>
  <c r="U9" i="3" s="1"/>
  <c r="T8" i="3"/>
  <c r="S8" i="3"/>
  <c r="R8" i="3"/>
  <c r="Q8" i="3"/>
  <c r="P8" i="3"/>
  <c r="O8" i="3"/>
  <c r="N8" i="3"/>
  <c r="M8" i="3"/>
  <c r="L8" i="3"/>
  <c r="K8" i="3"/>
  <c r="J8" i="3"/>
  <c r="I8" i="3"/>
  <c r="T7" i="3"/>
  <c r="S7" i="3"/>
  <c r="R7" i="3"/>
  <c r="Q7" i="3"/>
  <c r="P7" i="3"/>
  <c r="O7" i="3"/>
  <c r="N7" i="3"/>
  <c r="M7" i="3"/>
  <c r="L7" i="3"/>
  <c r="K7" i="3"/>
  <c r="J7" i="3"/>
  <c r="I7" i="3"/>
  <c r="T6" i="3"/>
  <c r="S6" i="3"/>
  <c r="R6" i="3"/>
  <c r="Q6" i="3"/>
  <c r="P6" i="3"/>
  <c r="O6" i="3"/>
  <c r="N6" i="3"/>
  <c r="M6" i="3"/>
  <c r="L6" i="3"/>
  <c r="K6" i="3"/>
  <c r="J6" i="3"/>
  <c r="I6" i="3"/>
  <c r="T5" i="3"/>
  <c r="S5" i="3"/>
  <c r="R5" i="3"/>
  <c r="Q5" i="3"/>
  <c r="P5" i="3"/>
  <c r="O5" i="3"/>
  <c r="N5" i="3"/>
  <c r="M5" i="3"/>
  <c r="L5" i="3"/>
  <c r="K5" i="3"/>
  <c r="J5" i="3"/>
  <c r="I5" i="3"/>
  <c r="U5" i="3" s="1"/>
  <c r="T4" i="3"/>
  <c r="S4" i="3"/>
  <c r="R4" i="3"/>
  <c r="Q4" i="3"/>
  <c r="P4" i="3"/>
  <c r="O4" i="3"/>
  <c r="N4" i="3"/>
  <c r="M4" i="3"/>
  <c r="L4" i="3"/>
  <c r="K4" i="3"/>
  <c r="J4" i="3"/>
  <c r="I4" i="3"/>
  <c r="U4" i="3" s="1"/>
  <c r="T3" i="3"/>
  <c r="S3" i="3"/>
  <c r="R3" i="3"/>
  <c r="Q3" i="3"/>
  <c r="P3" i="3"/>
  <c r="O3" i="3"/>
  <c r="N3" i="3"/>
  <c r="M3" i="3"/>
  <c r="L3" i="3"/>
  <c r="K3" i="3"/>
  <c r="J3" i="3"/>
  <c r="I3" i="3"/>
  <c r="T2" i="3"/>
  <c r="S2" i="3"/>
  <c r="R2" i="3"/>
  <c r="Q2" i="3"/>
  <c r="P2" i="3"/>
  <c r="O2" i="3"/>
  <c r="N2" i="3"/>
  <c r="M2" i="3"/>
  <c r="L2" i="3"/>
  <c r="K2" i="3"/>
  <c r="J2" i="3"/>
  <c r="I2" i="3"/>
  <c r="H1" i="2"/>
  <c r="I8" i="28" l="1"/>
  <c r="I8" i="14"/>
  <c r="I8" i="9"/>
  <c r="I8" i="8"/>
  <c r="I8" i="7"/>
  <c r="I8" i="6"/>
  <c r="I16" i="28"/>
  <c r="I16" i="14"/>
  <c r="I16" i="9"/>
  <c r="I16" i="8"/>
  <c r="I16" i="7"/>
  <c r="I16" i="6"/>
  <c r="I12" i="14"/>
  <c r="I12" i="9"/>
  <c r="I12" i="28"/>
  <c r="I12" i="6"/>
  <c r="I12" i="8"/>
  <c r="I12" i="7"/>
  <c r="U2" i="3"/>
  <c r="U3" i="3"/>
  <c r="I7" i="28"/>
  <c r="I7" i="7"/>
  <c r="P13" i="5"/>
  <c r="I7" i="8"/>
  <c r="I7" i="6"/>
  <c r="I7" i="14"/>
  <c r="I7" i="9"/>
  <c r="U6" i="3"/>
  <c r="U7" i="3"/>
  <c r="U8" i="3"/>
  <c r="I13" i="28"/>
  <c r="I13" i="8"/>
  <c r="I13" i="6"/>
  <c r="I13" i="14"/>
  <c r="I13" i="7"/>
  <c r="I13" i="9"/>
  <c r="I14" i="28"/>
  <c r="I14" i="14"/>
  <c r="I14" i="9"/>
  <c r="I14" i="6"/>
  <c r="I14" i="8"/>
  <c r="I14" i="7"/>
  <c r="U12" i="3"/>
  <c r="I17" i="28"/>
  <c r="I17" i="8"/>
  <c r="I17" i="14"/>
  <c r="I17" i="7"/>
  <c r="I17" i="9"/>
  <c r="I17" i="6"/>
  <c r="I18" i="14"/>
  <c r="I18" i="9"/>
  <c r="I18" i="6"/>
  <c r="I18" i="28"/>
  <c r="I18" i="7"/>
  <c r="I18" i="8"/>
  <c r="I19" i="28"/>
  <c r="I19" i="7"/>
  <c r="I19" i="8"/>
  <c r="I19" i="14"/>
  <c r="I19" i="9"/>
  <c r="I19" i="6"/>
  <c r="I20" i="28"/>
  <c r="I20" i="14"/>
  <c r="I20" i="9"/>
  <c r="I20" i="6"/>
  <c r="I20" i="8"/>
  <c r="I20" i="7"/>
  <c r="I21" i="28"/>
  <c r="I21" i="8"/>
  <c r="I21" i="14"/>
  <c r="I21" i="7"/>
  <c r="I21" i="9"/>
  <c r="I21" i="6"/>
  <c r="I22" i="28"/>
  <c r="I22" i="9"/>
  <c r="I22" i="7"/>
  <c r="I22" i="6"/>
  <c r="I22" i="14"/>
  <c r="I22" i="8"/>
  <c r="I23" i="28"/>
  <c r="I23" i="14"/>
  <c r="I23" i="8"/>
  <c r="I23" i="7"/>
  <c r="I23" i="9"/>
  <c r="I23" i="6"/>
  <c r="I24" i="28"/>
  <c r="I24" i="7"/>
  <c r="I24" i="14"/>
  <c r="I24" i="9"/>
  <c r="I24" i="6"/>
  <c r="I24" i="8"/>
  <c r="I25" i="28"/>
  <c r="I25" i="8"/>
  <c r="I25" i="14"/>
  <c r="I25" i="7"/>
  <c r="I25" i="9"/>
  <c r="I25" i="6"/>
  <c r="I26" i="28"/>
  <c r="I26" i="14"/>
  <c r="I26" i="9"/>
  <c r="I26" i="6"/>
  <c r="I26" i="7"/>
  <c r="I26" i="8"/>
  <c r="I27" i="28"/>
  <c r="I27" i="14"/>
  <c r="I27" i="8"/>
  <c r="I27" i="7"/>
  <c r="I27" i="9"/>
  <c r="I27" i="6"/>
  <c r="I28" i="28"/>
  <c r="I28" i="14"/>
  <c r="I28" i="9"/>
  <c r="I28" i="6"/>
  <c r="I28" i="8"/>
  <c r="I28" i="7"/>
  <c r="I29" i="28"/>
  <c r="I29" i="14"/>
  <c r="I29" i="8"/>
  <c r="I29" i="7"/>
  <c r="I29" i="9"/>
  <c r="I29" i="6"/>
  <c r="I30" i="28"/>
  <c r="I30" i="14"/>
  <c r="I30" i="9"/>
  <c r="I30" i="6"/>
  <c r="I30" i="8"/>
  <c r="I30" i="7"/>
  <c r="I31" i="28"/>
  <c r="I31" i="14"/>
  <c r="I31" i="8"/>
  <c r="I31" i="7"/>
  <c r="I31" i="9"/>
  <c r="I31" i="6"/>
  <c r="I32" i="28"/>
  <c r="I32" i="14"/>
  <c r="I32" i="9"/>
  <c r="I32" i="6"/>
  <c r="I32" i="8"/>
  <c r="I32" i="7"/>
  <c r="I33" i="28"/>
  <c r="I33" i="14"/>
  <c r="I33" i="8"/>
  <c r="I33" i="9"/>
  <c r="I33" i="7"/>
  <c r="I33" i="6"/>
  <c r="I34" i="14"/>
  <c r="I34" i="9"/>
  <c r="I34" i="6"/>
  <c r="I34" i="7"/>
  <c r="I34" i="28"/>
  <c r="I34" i="8"/>
  <c r="I35" i="28"/>
  <c r="I35" i="14"/>
  <c r="I35" i="8"/>
  <c r="I35" i="7"/>
  <c r="I35" i="9"/>
  <c r="I35" i="6"/>
  <c r="I36" i="28"/>
  <c r="I36" i="14"/>
  <c r="I36" i="9"/>
  <c r="I36" i="6"/>
  <c r="I36" i="8"/>
  <c r="I36" i="7"/>
  <c r="I37" i="28"/>
  <c r="I37" i="14"/>
  <c r="I37" i="8"/>
  <c r="I37" i="7"/>
  <c r="I37" i="9"/>
  <c r="I37" i="6"/>
  <c r="I38" i="28"/>
  <c r="I38" i="14"/>
  <c r="I38" i="9"/>
  <c r="I38" i="6"/>
  <c r="I38" i="8"/>
  <c r="I38" i="7"/>
  <c r="I39" i="14"/>
  <c r="I39" i="28"/>
  <c r="I39" i="8"/>
  <c r="I39" i="7"/>
  <c r="I39" i="9"/>
  <c r="I39" i="6"/>
  <c r="I40" i="28"/>
  <c r="I40" i="14"/>
  <c r="I40" i="9"/>
  <c r="I40" i="6"/>
  <c r="I40" i="8"/>
  <c r="I40" i="7"/>
  <c r="I41" i="28"/>
  <c r="I41" i="14"/>
  <c r="I41" i="8"/>
  <c r="I41" i="9"/>
  <c r="I41" i="7"/>
  <c r="I41" i="6"/>
  <c r="I42" i="28"/>
  <c r="I42" i="14"/>
  <c r="I42" i="9"/>
  <c r="I42" i="6"/>
  <c r="I42" i="7"/>
  <c r="I42" i="8"/>
  <c r="I43" i="28"/>
  <c r="I43" i="14"/>
  <c r="I43" i="8"/>
  <c r="I43" i="7"/>
  <c r="I43" i="9"/>
  <c r="I43" i="6"/>
  <c r="I44" i="14"/>
  <c r="I44" i="28"/>
  <c r="I44" i="9"/>
  <c r="I44" i="6"/>
  <c r="I44" i="8"/>
  <c r="I44" i="7"/>
  <c r="I45" i="28"/>
  <c r="I45" i="14"/>
  <c r="I45" i="8"/>
  <c r="I45" i="7"/>
  <c r="I45" i="9"/>
  <c r="I45" i="6"/>
  <c r="I46" i="28"/>
  <c r="I46" i="14"/>
  <c r="I46" i="9"/>
  <c r="I46" i="6"/>
  <c r="I46" i="8"/>
  <c r="I46" i="7"/>
  <c r="I47" i="28"/>
  <c r="I47" i="14"/>
  <c r="I47" i="8"/>
  <c r="I47" i="7"/>
  <c r="I47" i="9"/>
  <c r="I47" i="6"/>
  <c r="I48" i="28"/>
  <c r="I48" i="14"/>
  <c r="I48" i="9"/>
  <c r="I48" i="6"/>
  <c r="I48" i="8"/>
  <c r="I48" i="7"/>
  <c r="I49" i="28"/>
  <c r="I49" i="14"/>
  <c r="I49" i="8"/>
  <c r="I49" i="9"/>
  <c r="I49" i="7"/>
  <c r="I49" i="6"/>
  <c r="I50" i="28"/>
  <c r="I50" i="14"/>
  <c r="I50" i="9"/>
  <c r="I50" i="6"/>
  <c r="I50" i="7"/>
  <c r="M69" i="6" s="1"/>
  <c r="I50" i="8"/>
  <c r="I51" i="28"/>
  <c r="I51" i="14"/>
  <c r="I51" i="8"/>
  <c r="I51" i="7"/>
  <c r="I51" i="9"/>
  <c r="I51" i="6"/>
  <c r="I5" i="29"/>
  <c r="AG47" i="29" s="1"/>
  <c r="I5" i="13"/>
  <c r="I5" i="11"/>
  <c r="I5" i="12"/>
  <c r="I5" i="10"/>
  <c r="I6" i="29"/>
  <c r="AE48" i="29" s="1"/>
  <c r="I6" i="12"/>
  <c r="I6" i="11"/>
  <c r="I6" i="10"/>
  <c r="I6" i="13"/>
  <c r="I7" i="29"/>
  <c r="AG49" i="29" s="1"/>
  <c r="I7" i="13"/>
  <c r="I7" i="11"/>
  <c r="I7" i="12"/>
  <c r="I7" i="10"/>
  <c r="I8" i="29"/>
  <c r="AE50" i="29" s="1"/>
  <c r="I8" i="12"/>
  <c r="I8" i="11"/>
  <c r="I8" i="10"/>
  <c r="I8" i="13"/>
  <c r="I9" i="29"/>
  <c r="AG51" i="29" s="1"/>
  <c r="I9" i="13"/>
  <c r="I9" i="12"/>
  <c r="I9" i="10"/>
  <c r="I9" i="11"/>
  <c r="I10" i="29"/>
  <c r="AE52" i="29" s="1"/>
  <c r="I10" i="12"/>
  <c r="I10" i="11"/>
  <c r="I10" i="10"/>
  <c r="I10" i="13"/>
  <c r="I11" i="29"/>
  <c r="AG53" i="29" s="1"/>
  <c r="I11" i="13"/>
  <c r="I11" i="12"/>
  <c r="I11" i="10"/>
  <c r="I11" i="11"/>
  <c r="I12" i="29"/>
  <c r="AE54" i="29" s="1"/>
  <c r="I12" i="12"/>
  <c r="I12" i="11"/>
  <c r="I12" i="10"/>
  <c r="I12" i="13"/>
  <c r="I13" i="29"/>
  <c r="AG55" i="29" s="1"/>
  <c r="I13" i="13"/>
  <c r="I13" i="11"/>
  <c r="I13" i="12"/>
  <c r="I13" i="10"/>
  <c r="I14" i="29"/>
  <c r="AE56" i="29" s="1"/>
  <c r="I14" i="12"/>
  <c r="I14" i="11"/>
  <c r="I14" i="10"/>
  <c r="I14" i="13"/>
  <c r="I15" i="29"/>
  <c r="AG57" i="29" s="1"/>
  <c r="I15" i="13"/>
  <c r="I15" i="11"/>
  <c r="I15" i="12"/>
  <c r="I15" i="10"/>
  <c r="I16" i="29"/>
  <c r="AE58" i="29" s="1"/>
  <c r="I16" i="12"/>
  <c r="I16" i="11"/>
  <c r="I16" i="10"/>
  <c r="I16" i="13"/>
  <c r="I17" i="29"/>
  <c r="AC59" i="29" s="1"/>
  <c r="I17" i="13"/>
  <c r="I17" i="12"/>
  <c r="I17" i="10"/>
  <c r="I17" i="11"/>
  <c r="I18" i="29"/>
  <c r="I18" i="12"/>
  <c r="I18" i="11"/>
  <c r="I18" i="10"/>
  <c r="I18" i="13"/>
  <c r="I19" i="29"/>
  <c r="I19" i="13"/>
  <c r="I19" i="12"/>
  <c r="I19" i="10"/>
  <c r="I19" i="11"/>
  <c r="I20" i="29"/>
  <c r="I20" i="12"/>
  <c r="I20" i="11"/>
  <c r="I20" i="10"/>
  <c r="I20" i="13"/>
  <c r="I21" i="29"/>
  <c r="I21" i="13"/>
  <c r="I21" i="11"/>
  <c r="I21" i="12"/>
  <c r="I21" i="10"/>
  <c r="I22" i="29"/>
  <c r="I22" i="12"/>
  <c r="I22" i="11"/>
  <c r="I22" i="10"/>
  <c r="I22" i="13"/>
  <c r="I23" i="29"/>
  <c r="I23" i="13"/>
  <c r="I23" i="11"/>
  <c r="I23" i="12"/>
  <c r="I23" i="10"/>
  <c r="I24" i="29"/>
  <c r="I24" i="12"/>
  <c r="I24" i="11"/>
  <c r="I24" i="10"/>
  <c r="I24" i="13"/>
  <c r="I25" i="29"/>
  <c r="I25" i="13"/>
  <c r="I25" i="12"/>
  <c r="I25" i="10"/>
  <c r="I25" i="11"/>
  <c r="I26" i="29"/>
  <c r="I26" i="12"/>
  <c r="I26" i="11"/>
  <c r="I26" i="10"/>
  <c r="I26" i="13"/>
  <c r="I27" i="29"/>
  <c r="I27" i="13"/>
  <c r="I27" i="12"/>
  <c r="I27" i="10"/>
  <c r="I27" i="11"/>
  <c r="I28" i="29"/>
  <c r="I28" i="12"/>
  <c r="I28" i="11"/>
  <c r="I28" i="10"/>
  <c r="I28" i="13"/>
  <c r="I29" i="29"/>
  <c r="I29" i="13"/>
  <c r="I29" i="11"/>
  <c r="I29" i="12"/>
  <c r="I29" i="10"/>
  <c r="I30" i="29"/>
  <c r="I30" i="12"/>
  <c r="I30" i="11"/>
  <c r="I30" i="10"/>
  <c r="I30" i="13"/>
  <c r="I31" i="29"/>
  <c r="I31" i="13"/>
  <c r="I31" i="11"/>
  <c r="I31" i="12"/>
  <c r="I31" i="10"/>
  <c r="I32" i="29"/>
  <c r="I32" i="12"/>
  <c r="I32" i="11"/>
  <c r="I32" i="10"/>
  <c r="I32" i="13"/>
  <c r="I33" i="29"/>
  <c r="I33" i="13"/>
  <c r="I33" i="12"/>
  <c r="I33" i="10"/>
  <c r="I33" i="11"/>
  <c r="I34" i="29"/>
  <c r="I34" i="12"/>
  <c r="I34" i="11"/>
  <c r="I34" i="10"/>
  <c r="I34" i="13"/>
  <c r="I35" i="29"/>
  <c r="I35" i="13"/>
  <c r="I35" i="12"/>
  <c r="I35" i="10"/>
  <c r="I35" i="11"/>
  <c r="I36" i="29"/>
  <c r="I36" i="12"/>
  <c r="I36" i="11"/>
  <c r="I36" i="10"/>
  <c r="I36" i="13"/>
  <c r="I38" i="29"/>
  <c r="I38" i="12"/>
  <c r="I38" i="11"/>
  <c r="I38" i="10"/>
  <c r="I38" i="13"/>
  <c r="I39" i="29"/>
  <c r="I39" i="13"/>
  <c r="I39" i="11"/>
  <c r="I39" i="12"/>
  <c r="I39" i="10"/>
  <c r="I40" i="29"/>
  <c r="I40" i="12"/>
  <c r="I40" i="11"/>
  <c r="I40" i="10"/>
  <c r="I40" i="13"/>
  <c r="I37" i="29"/>
  <c r="I37" i="13"/>
  <c r="I37" i="10"/>
  <c r="I37" i="12"/>
  <c r="AD55" i="7"/>
  <c r="AD57" i="6"/>
  <c r="AJ2" i="16"/>
  <c r="AT2" i="16"/>
  <c r="AA11" i="27"/>
  <c r="AT3" i="16"/>
  <c r="AI8" i="27"/>
  <c r="X8" i="27"/>
  <c r="AF8" i="27" s="1"/>
  <c r="I37" i="11"/>
  <c r="AO3" i="16"/>
  <c r="AA12" i="27"/>
  <c r="AC36" i="17"/>
  <c r="AC40" i="17"/>
  <c r="U38" i="4"/>
  <c r="AI56" i="6"/>
  <c r="AB55" i="7"/>
  <c r="AO2" i="16"/>
  <c r="AM57" i="7"/>
  <c r="AT4" i="16"/>
  <c r="AT5" i="16"/>
  <c r="AJ5" i="16"/>
  <c r="AC6" i="17"/>
  <c r="AC10" i="17"/>
  <c r="AC26" i="17"/>
  <c r="AC58" i="17"/>
  <c r="AO5" i="16"/>
  <c r="AC61" i="17"/>
  <c r="AC46" i="17"/>
  <c r="X4" i="27"/>
  <c r="AF4" i="27" s="1"/>
  <c r="AC3" i="17"/>
  <c r="AI8" i="17" s="1"/>
  <c r="AC7" i="17"/>
  <c r="AC11" i="17"/>
  <c r="AC15" i="17"/>
  <c r="AC19" i="17"/>
  <c r="AC23" i="17"/>
  <c r="AC27" i="17"/>
  <c r="AC31" i="17"/>
  <c r="AC35" i="17"/>
  <c r="AC39" i="17"/>
  <c r="AC43" i="17"/>
  <c r="AC47" i="17"/>
  <c r="AC51" i="17"/>
  <c r="AC59" i="17"/>
  <c r="AC63" i="17"/>
  <c r="AC70" i="17"/>
  <c r="AC71" i="17"/>
  <c r="R9" i="27"/>
  <c r="X3" i="27"/>
  <c r="AF3" i="27" s="1"/>
  <c r="AI5" i="27"/>
  <c r="X7" i="27"/>
  <c r="AF7" i="27" s="1"/>
  <c r="AC18" i="17"/>
  <c r="AC22" i="17"/>
  <c r="AC30" i="17"/>
  <c r="AC34" i="17"/>
  <c r="AC42" i="17"/>
  <c r="AC50" i="17"/>
  <c r="AC54" i="17"/>
  <c r="AC55" i="17"/>
  <c r="AC62" i="17"/>
  <c r="AC66" i="17"/>
  <c r="AC67" i="17"/>
  <c r="AG3" i="27"/>
  <c r="AJ4" i="27"/>
  <c r="AF6" i="27"/>
  <c r="AG7" i="27"/>
  <c r="AJ8" i="27"/>
  <c r="AO4" i="16"/>
  <c r="AC5" i="17"/>
  <c r="AC9" i="17"/>
  <c r="AC13" i="17"/>
  <c r="AC17" i="17"/>
  <c r="AC21" i="17"/>
  <c r="AC25" i="17"/>
  <c r="AC29" i="17"/>
  <c r="AC33" i="17"/>
  <c r="AC37" i="17"/>
  <c r="AC41" i="17"/>
  <c r="AC45" i="17"/>
  <c r="AI6" i="17" s="1"/>
  <c r="AC53" i="17"/>
  <c r="AC57" i="17"/>
  <c r="AC65" i="17"/>
  <c r="AC76" i="17"/>
  <c r="AC77" i="17"/>
  <c r="R12" i="27"/>
  <c r="Y6" i="27"/>
  <c r="AG6" i="27" s="1"/>
  <c r="AJ13" i="27"/>
  <c r="BA66" i="28"/>
  <c r="AW66" i="28"/>
  <c r="AS66" i="28"/>
  <c r="AO66" i="28"/>
  <c r="AK66" i="28"/>
  <c r="BD66" i="28"/>
  <c r="AZ66" i="28"/>
  <c r="AV66" i="28"/>
  <c r="AR66" i="28"/>
  <c r="AN66" i="28"/>
  <c r="AJ66" i="28"/>
  <c r="BC66" i="28"/>
  <c r="AY66" i="28"/>
  <c r="AU66" i="28"/>
  <c r="AQ66" i="28"/>
  <c r="AM66" i="28"/>
  <c r="AI66" i="28"/>
  <c r="BB66" i="28"/>
  <c r="AX66" i="28"/>
  <c r="AT66" i="28"/>
  <c r="AP66" i="28"/>
  <c r="AL66" i="28"/>
  <c r="BB70" i="28"/>
  <c r="BA70" i="28"/>
  <c r="AW70" i="28"/>
  <c r="BD70" i="28"/>
  <c r="AX70" i="28"/>
  <c r="AS70" i="28"/>
  <c r="AO70" i="28"/>
  <c r="AK70" i="28"/>
  <c r="BC70" i="28"/>
  <c r="AV70" i="28"/>
  <c r="AR70" i="28"/>
  <c r="AN70" i="28"/>
  <c r="AJ70" i="28"/>
  <c r="AZ70" i="28"/>
  <c r="AU70" i="28"/>
  <c r="AQ70" i="28"/>
  <c r="AM70" i="28"/>
  <c r="AI70" i="28"/>
  <c r="AY70" i="28"/>
  <c r="AT70" i="28"/>
  <c r="AP70" i="28"/>
  <c r="AL70" i="28"/>
  <c r="BB74" i="28"/>
  <c r="AX74" i="28"/>
  <c r="AT74" i="28"/>
  <c r="AP74" i="28"/>
  <c r="AL74" i="28"/>
  <c r="BA74" i="28"/>
  <c r="AW74" i="28"/>
  <c r="AS74" i="28"/>
  <c r="AO74" i="28"/>
  <c r="AK74" i="28"/>
  <c r="P74" i="28"/>
  <c r="BD74" i="28"/>
  <c r="AZ74" i="28"/>
  <c r="AV74" i="28"/>
  <c r="AR74" i="28"/>
  <c r="AN74" i="28"/>
  <c r="AJ74" i="28"/>
  <c r="BC74" i="28"/>
  <c r="AY74" i="28"/>
  <c r="AU74" i="28"/>
  <c r="AQ74" i="28"/>
  <c r="AM74" i="28"/>
  <c r="AI74" i="28"/>
  <c r="R74" i="28"/>
  <c r="BB78" i="28"/>
  <c r="AX78" i="28"/>
  <c r="AT78" i="28"/>
  <c r="AP78" i="28"/>
  <c r="AL78" i="28"/>
  <c r="BA78" i="28"/>
  <c r="AW78" i="28"/>
  <c r="AS78" i="28"/>
  <c r="AO78" i="28"/>
  <c r="AK78" i="28"/>
  <c r="P78" i="28"/>
  <c r="BD78" i="28"/>
  <c r="AZ78" i="28"/>
  <c r="AV78" i="28"/>
  <c r="AR78" i="28"/>
  <c r="AN78" i="28"/>
  <c r="AJ78" i="28"/>
  <c r="BC78" i="28"/>
  <c r="AY78" i="28"/>
  <c r="AU78" i="28"/>
  <c r="AQ78" i="28"/>
  <c r="AM78" i="28"/>
  <c r="AI78" i="28"/>
  <c r="R78" i="28"/>
  <c r="BB82" i="28"/>
  <c r="AX82" i="28"/>
  <c r="AT82" i="28"/>
  <c r="AP82" i="28"/>
  <c r="AL82" i="28"/>
  <c r="BA82" i="28"/>
  <c r="AW82" i="28"/>
  <c r="AS82" i="28"/>
  <c r="AO82" i="28"/>
  <c r="AK82" i="28"/>
  <c r="BD82" i="28"/>
  <c r="AZ82" i="28"/>
  <c r="AV82" i="28"/>
  <c r="AR82" i="28"/>
  <c r="AN82" i="28"/>
  <c r="AJ82" i="28"/>
  <c r="BC82" i="28"/>
  <c r="AY82" i="28"/>
  <c r="AU82" i="28"/>
  <c r="AQ82" i="28"/>
  <c r="AM82" i="28"/>
  <c r="AI82" i="28"/>
  <c r="BB86" i="28"/>
  <c r="AX86" i="28"/>
  <c r="AT86" i="28"/>
  <c r="AP86" i="28"/>
  <c r="BA86" i="28"/>
  <c r="AW86" i="28"/>
  <c r="AS86" i="28"/>
  <c r="AO86" i="28"/>
  <c r="BD86" i="28"/>
  <c r="AZ86" i="28"/>
  <c r="AV86" i="28"/>
  <c r="AR86" i="28"/>
  <c r="AN86" i="28"/>
  <c r="BC86" i="28"/>
  <c r="AY86" i="28"/>
  <c r="AU86" i="28"/>
  <c r="AQ86" i="28"/>
  <c r="AL86" i="28"/>
  <c r="AK86" i="28"/>
  <c r="AJ86" i="28"/>
  <c r="AM86" i="28"/>
  <c r="AI86" i="28"/>
  <c r="BB90" i="28"/>
  <c r="AX90" i="28"/>
  <c r="AT90" i="28"/>
  <c r="AP90" i="28"/>
  <c r="AL90" i="28"/>
  <c r="BA90" i="28"/>
  <c r="AW90" i="28"/>
  <c r="AS90" i="28"/>
  <c r="AO90" i="28"/>
  <c r="AK90" i="28"/>
  <c r="BD90" i="28"/>
  <c r="AZ90" i="28"/>
  <c r="AV90" i="28"/>
  <c r="AR90" i="28"/>
  <c r="AN90" i="28"/>
  <c r="AJ90" i="28"/>
  <c r="BC90" i="28"/>
  <c r="AY90" i="28"/>
  <c r="AU90" i="28"/>
  <c r="AQ90" i="28"/>
  <c r="AM90" i="28"/>
  <c r="AI90" i="28"/>
  <c r="BB94" i="28"/>
  <c r="AX94" i="28"/>
  <c r="AT94" i="28"/>
  <c r="AP94" i="28"/>
  <c r="AL94" i="28"/>
  <c r="BA94" i="28"/>
  <c r="AW94" i="28"/>
  <c r="AS94" i="28"/>
  <c r="AO94" i="28"/>
  <c r="AK94" i="28"/>
  <c r="BD94" i="28"/>
  <c r="AZ94" i="28"/>
  <c r="AV94" i="28"/>
  <c r="AR94" i="28"/>
  <c r="AN94" i="28"/>
  <c r="AJ94" i="28"/>
  <c r="BC94" i="28"/>
  <c r="AY94" i="28"/>
  <c r="AU94" i="28"/>
  <c r="AQ94" i="28"/>
  <c r="AM94" i="28"/>
  <c r="AI94" i="28"/>
  <c r="BB98" i="28"/>
  <c r="AX98" i="28"/>
  <c r="AT98" i="28"/>
  <c r="AP98" i="28"/>
  <c r="AL98" i="28"/>
  <c r="BA98" i="28"/>
  <c r="AW98" i="28"/>
  <c r="AS98" i="28"/>
  <c r="AO98" i="28"/>
  <c r="AK98" i="28"/>
  <c r="BD98" i="28"/>
  <c r="AZ98" i="28"/>
  <c r="AV98" i="28"/>
  <c r="AR98" i="28"/>
  <c r="AN98" i="28"/>
  <c r="AJ98" i="28"/>
  <c r="BC98" i="28"/>
  <c r="AY98" i="28"/>
  <c r="AU98" i="28"/>
  <c r="AQ98" i="28"/>
  <c r="AM98" i="28"/>
  <c r="AI98" i="28"/>
  <c r="BA102" i="28"/>
  <c r="AW102" i="28"/>
  <c r="AS102" i="28"/>
  <c r="AO102" i="28"/>
  <c r="AK102" i="28"/>
  <c r="BD102" i="28"/>
  <c r="AZ102" i="28"/>
  <c r="AV102" i="28"/>
  <c r="AR102" i="28"/>
  <c r="AN102" i="28"/>
  <c r="AJ102" i="28"/>
  <c r="BC102" i="28"/>
  <c r="AY102" i="28"/>
  <c r="AU102" i="28"/>
  <c r="AQ102" i="28"/>
  <c r="AM102" i="28"/>
  <c r="AI102" i="28"/>
  <c r="BB102" i="28"/>
  <c r="AX102" i="28"/>
  <c r="AT102" i="28"/>
  <c r="AP102" i="28"/>
  <c r="AL102" i="28"/>
  <c r="BA59" i="28"/>
  <c r="AW59" i="28"/>
  <c r="AS59" i="28"/>
  <c r="AO59" i="28"/>
  <c r="AK59" i="28"/>
  <c r="BD59" i="28"/>
  <c r="AZ59" i="28"/>
  <c r="AV59" i="28"/>
  <c r="AR59" i="28"/>
  <c r="AN59" i="28"/>
  <c r="AJ59" i="28"/>
  <c r="BC59" i="28"/>
  <c r="AY59" i="28"/>
  <c r="AU59" i="28"/>
  <c r="AQ59" i="28"/>
  <c r="AM59" i="28"/>
  <c r="AI59" i="28"/>
  <c r="BB59" i="28"/>
  <c r="AX59" i="28"/>
  <c r="AT59" i="28"/>
  <c r="AP59" i="28"/>
  <c r="AL59" i="28"/>
  <c r="BB71" i="28"/>
  <c r="AX71" i="28"/>
  <c r="AT71" i="28"/>
  <c r="AP71" i="28"/>
  <c r="AL71" i="28"/>
  <c r="BA71" i="28"/>
  <c r="AW71" i="28"/>
  <c r="AS71" i="28"/>
  <c r="AO71" i="28"/>
  <c r="AK71" i="28"/>
  <c r="BD71" i="28"/>
  <c r="AZ71" i="28"/>
  <c r="AV71" i="28"/>
  <c r="AR71" i="28"/>
  <c r="AN71" i="28"/>
  <c r="AJ71" i="28"/>
  <c r="BC71" i="28"/>
  <c r="AY71" i="28"/>
  <c r="AU71" i="28"/>
  <c r="AQ71" i="28"/>
  <c r="AM71" i="28"/>
  <c r="AI71" i="28"/>
  <c r="BB75" i="28"/>
  <c r="AX75" i="28"/>
  <c r="AT75" i="28"/>
  <c r="AP75" i="28"/>
  <c r="AL75" i="28"/>
  <c r="BA75" i="28"/>
  <c r="AW75" i="28"/>
  <c r="AS75" i="28"/>
  <c r="AO75" i="28"/>
  <c r="AK75" i="28"/>
  <c r="P75" i="28"/>
  <c r="BD75" i="28"/>
  <c r="AZ75" i="28"/>
  <c r="AV75" i="28"/>
  <c r="AR75" i="28"/>
  <c r="AN75" i="28"/>
  <c r="AJ75" i="28"/>
  <c r="BC75" i="28"/>
  <c r="AY75" i="28"/>
  <c r="AU75" i="28"/>
  <c r="AQ75" i="28"/>
  <c r="AM75" i="28"/>
  <c r="AI75" i="28"/>
  <c r="R75" i="28"/>
  <c r="BB79" i="28"/>
  <c r="AX79" i="28"/>
  <c r="AT79" i="28"/>
  <c r="AP79" i="28"/>
  <c r="AL79" i="28"/>
  <c r="BA79" i="28"/>
  <c r="AW79" i="28"/>
  <c r="AS79" i="28"/>
  <c r="AO79" i="28"/>
  <c r="AK79" i="28"/>
  <c r="P79" i="28"/>
  <c r="BD79" i="28"/>
  <c r="AZ79" i="28"/>
  <c r="AV79" i="28"/>
  <c r="AR79" i="28"/>
  <c r="AN79" i="28"/>
  <c r="AJ79" i="28"/>
  <c r="BC79" i="28"/>
  <c r="AY79" i="28"/>
  <c r="AU79" i="28"/>
  <c r="AQ79" i="28"/>
  <c r="AM79" i="28"/>
  <c r="AI79" i="28"/>
  <c r="R79" i="28"/>
  <c r="BB83" i="28"/>
  <c r="AX83" i="28"/>
  <c r="AT83" i="28"/>
  <c r="AP83" i="28"/>
  <c r="AL83" i="28"/>
  <c r="BA83" i="28"/>
  <c r="AW83" i="28"/>
  <c r="AS83" i="28"/>
  <c r="AO83" i="28"/>
  <c r="AK83" i="28"/>
  <c r="BD83" i="28"/>
  <c r="AZ83" i="28"/>
  <c r="AV83" i="28"/>
  <c r="AR83" i="28"/>
  <c r="AN83" i="28"/>
  <c r="AJ83" i="28"/>
  <c r="BC83" i="28"/>
  <c r="AY83" i="28"/>
  <c r="AU83" i="28"/>
  <c r="AQ83" i="28"/>
  <c r="AM83" i="28"/>
  <c r="AI83" i="28"/>
  <c r="BB87" i="28"/>
  <c r="AX87" i="28"/>
  <c r="AT87" i="28"/>
  <c r="AP87" i="28"/>
  <c r="AL87" i="28"/>
  <c r="BA87" i="28"/>
  <c r="AW87" i="28"/>
  <c r="AS87" i="28"/>
  <c r="AO87" i="28"/>
  <c r="AK87" i="28"/>
  <c r="BD87" i="28"/>
  <c r="AZ87" i="28"/>
  <c r="AV87" i="28"/>
  <c r="AR87" i="28"/>
  <c r="AN87" i="28"/>
  <c r="AJ87" i="28"/>
  <c r="BC87" i="28"/>
  <c r="AY87" i="28"/>
  <c r="AU87" i="28"/>
  <c r="AQ87" i="28"/>
  <c r="AM87" i="28"/>
  <c r="AI87" i="28"/>
  <c r="BB91" i="28"/>
  <c r="AX91" i="28"/>
  <c r="AT91" i="28"/>
  <c r="AP91" i="28"/>
  <c r="AL91" i="28"/>
  <c r="BA91" i="28"/>
  <c r="AW91" i="28"/>
  <c r="AS91" i="28"/>
  <c r="AO91" i="28"/>
  <c r="AK91" i="28"/>
  <c r="BD91" i="28"/>
  <c r="AZ91" i="28"/>
  <c r="AV91" i="28"/>
  <c r="AR91" i="28"/>
  <c r="AN91" i="28"/>
  <c r="AJ91" i="28"/>
  <c r="BC91" i="28"/>
  <c r="AY91" i="28"/>
  <c r="AU91" i="28"/>
  <c r="AQ91" i="28"/>
  <c r="AM91" i="28"/>
  <c r="AI91" i="28"/>
  <c r="BB95" i="28"/>
  <c r="AX95" i="28"/>
  <c r="AT95" i="28"/>
  <c r="AP95" i="28"/>
  <c r="AL95" i="28"/>
  <c r="BA95" i="28"/>
  <c r="AW95" i="28"/>
  <c r="AS95" i="28"/>
  <c r="AO95" i="28"/>
  <c r="AK95" i="28"/>
  <c r="BD95" i="28"/>
  <c r="AZ95" i="28"/>
  <c r="AV95" i="28"/>
  <c r="AR95" i="28"/>
  <c r="AN95" i="28"/>
  <c r="AJ95" i="28"/>
  <c r="BC95" i="28"/>
  <c r="AY95" i="28"/>
  <c r="AU95" i="28"/>
  <c r="AQ95" i="28"/>
  <c r="AM95" i="28"/>
  <c r="AI95" i="28"/>
  <c r="BB99" i="28"/>
  <c r="AX99" i="28"/>
  <c r="AT99" i="28"/>
  <c r="AP99" i="28"/>
  <c r="AL99" i="28"/>
  <c r="BA99" i="28"/>
  <c r="AW99" i="28"/>
  <c r="AS99" i="28"/>
  <c r="AO99" i="28"/>
  <c r="AK99" i="28"/>
  <c r="BD99" i="28"/>
  <c r="AZ99" i="28"/>
  <c r="AV99" i="28"/>
  <c r="AR99" i="28"/>
  <c r="AN99" i="28"/>
  <c r="AJ99" i="28"/>
  <c r="BC99" i="28"/>
  <c r="AY99" i="28"/>
  <c r="AU99" i="28"/>
  <c r="AQ99" i="28"/>
  <c r="AM99" i="28"/>
  <c r="AI99" i="28"/>
  <c r="BA103" i="28"/>
  <c r="AW103" i="28"/>
  <c r="AS103" i="28"/>
  <c r="AO103" i="28"/>
  <c r="AK103" i="28"/>
  <c r="BD103" i="28"/>
  <c r="AZ103" i="28"/>
  <c r="AV103" i="28"/>
  <c r="AR103" i="28"/>
  <c r="AN103" i="28"/>
  <c r="AJ103" i="28"/>
  <c r="BC103" i="28"/>
  <c r="AY103" i="28"/>
  <c r="AU103" i="28"/>
  <c r="AQ103" i="28"/>
  <c r="AM103" i="28"/>
  <c r="AI103" i="28"/>
  <c r="BB103" i="28"/>
  <c r="AX103" i="28"/>
  <c r="AT103" i="28"/>
  <c r="AP103" i="28"/>
  <c r="AL103" i="28"/>
  <c r="BA60" i="28"/>
  <c r="AW60" i="28"/>
  <c r="AS60" i="28"/>
  <c r="AO60" i="28"/>
  <c r="AK60" i="28"/>
  <c r="BD60" i="28"/>
  <c r="AZ60" i="28"/>
  <c r="AV60" i="28"/>
  <c r="AR60" i="28"/>
  <c r="AN60" i="28"/>
  <c r="AJ60" i="28"/>
  <c r="BC60" i="28"/>
  <c r="AY60" i="28"/>
  <c r="AU60" i="28"/>
  <c r="AQ60" i="28"/>
  <c r="AM60" i="28"/>
  <c r="AI60" i="28"/>
  <c r="BB60" i="28"/>
  <c r="AX60" i="28"/>
  <c r="AT60" i="28"/>
  <c r="AP60" i="28"/>
  <c r="AL60" i="28"/>
  <c r="BA64" i="28"/>
  <c r="AW64" i="28"/>
  <c r="AS64" i="28"/>
  <c r="AO64" i="28"/>
  <c r="AK64" i="28"/>
  <c r="BD64" i="28"/>
  <c r="AZ64" i="28"/>
  <c r="AV64" i="28"/>
  <c r="AR64" i="28"/>
  <c r="AN64" i="28"/>
  <c r="AJ64" i="28"/>
  <c r="BC64" i="28"/>
  <c r="AY64" i="28"/>
  <c r="AU64" i="28"/>
  <c r="AQ64" i="28"/>
  <c r="AM64" i="28"/>
  <c r="AI64" i="28"/>
  <c r="BB64" i="28"/>
  <c r="AX64" i="28"/>
  <c r="AT64" i="28"/>
  <c r="AP64" i="28"/>
  <c r="AL64" i="28"/>
  <c r="BA68" i="28"/>
  <c r="AW68" i="28"/>
  <c r="AS68" i="28"/>
  <c r="AO68" i="28"/>
  <c r="AK68" i="28"/>
  <c r="BD68" i="28"/>
  <c r="AZ68" i="28"/>
  <c r="AV68" i="28"/>
  <c r="AR68" i="28"/>
  <c r="AN68" i="28"/>
  <c r="AJ68" i="28"/>
  <c r="BC68" i="28"/>
  <c r="AY68" i="28"/>
  <c r="AU68" i="28"/>
  <c r="AQ68" i="28"/>
  <c r="AM68" i="28"/>
  <c r="AI68" i="28"/>
  <c r="BB68" i="28"/>
  <c r="AX68" i="28"/>
  <c r="AT68" i="28"/>
  <c r="AP68" i="28"/>
  <c r="AL68" i="28"/>
  <c r="BB72" i="28"/>
  <c r="AX72" i="28"/>
  <c r="AT72" i="28"/>
  <c r="AP72" i="28"/>
  <c r="AL72" i="28"/>
  <c r="BA72" i="28"/>
  <c r="AW72" i="28"/>
  <c r="AS72" i="28"/>
  <c r="AO72" i="28"/>
  <c r="AK72" i="28"/>
  <c r="BD72" i="28"/>
  <c r="AZ72" i="28"/>
  <c r="AV72" i="28"/>
  <c r="AR72" i="28"/>
  <c r="AN72" i="28"/>
  <c r="AJ72" i="28"/>
  <c r="BC72" i="28"/>
  <c r="AY72" i="28"/>
  <c r="AU72" i="28"/>
  <c r="AQ72" i="28"/>
  <c r="AM72" i="28"/>
  <c r="AI72" i="28"/>
  <c r="BB76" i="28"/>
  <c r="AX76" i="28"/>
  <c r="AT76" i="28"/>
  <c r="AP76" i="28"/>
  <c r="AL76" i="28"/>
  <c r="BA76" i="28"/>
  <c r="AW76" i="28"/>
  <c r="AS76" i="28"/>
  <c r="AO76" i="28"/>
  <c r="AK76" i="28"/>
  <c r="P76" i="28"/>
  <c r="BD76" i="28"/>
  <c r="AZ76" i="28"/>
  <c r="AV76" i="28"/>
  <c r="AR76" i="28"/>
  <c r="AN76" i="28"/>
  <c r="AJ76" i="28"/>
  <c r="BC76" i="28"/>
  <c r="AY76" i="28"/>
  <c r="AU76" i="28"/>
  <c r="AQ76" i="28"/>
  <c r="AM76" i="28"/>
  <c r="AI76" i="28"/>
  <c r="R76" i="28"/>
  <c r="BB80" i="28"/>
  <c r="AX80" i="28"/>
  <c r="AT80" i="28"/>
  <c r="AP80" i="28"/>
  <c r="AL80" i="28"/>
  <c r="BA80" i="28"/>
  <c r="AW80" i="28"/>
  <c r="AS80" i="28"/>
  <c r="AO80" i="28"/>
  <c r="AK80" i="28"/>
  <c r="P80" i="28"/>
  <c r="BD80" i="28"/>
  <c r="AZ80" i="28"/>
  <c r="AV80" i="28"/>
  <c r="AR80" i="28"/>
  <c r="AN80" i="28"/>
  <c r="AJ80" i="28"/>
  <c r="BC80" i="28"/>
  <c r="AY80" i="28"/>
  <c r="AU80" i="28"/>
  <c r="AQ80" i="28"/>
  <c r="AM80" i="28"/>
  <c r="AI80" i="28"/>
  <c r="R80" i="28"/>
  <c r="BB84" i="28"/>
  <c r="AX84" i="28"/>
  <c r="AT84" i="28"/>
  <c r="AP84" i="28"/>
  <c r="AL84" i="28"/>
  <c r="BA84" i="28"/>
  <c r="AW84" i="28"/>
  <c r="AS84" i="28"/>
  <c r="AO84" i="28"/>
  <c r="AK84" i="28"/>
  <c r="BD84" i="28"/>
  <c r="AZ84" i="28"/>
  <c r="AV84" i="28"/>
  <c r="AR84" i="28"/>
  <c r="AN84" i="28"/>
  <c r="AJ84" i="28"/>
  <c r="BC84" i="28"/>
  <c r="AY84" i="28"/>
  <c r="AU84" i="28"/>
  <c r="AQ84" i="28"/>
  <c r="AM84" i="28"/>
  <c r="AI84" i="28"/>
  <c r="BB88" i="28"/>
  <c r="AX88" i="28"/>
  <c r="AT88" i="28"/>
  <c r="AP88" i="28"/>
  <c r="AL88" i="28"/>
  <c r="BA88" i="28"/>
  <c r="AW88" i="28"/>
  <c r="AS88" i="28"/>
  <c r="AO88" i="28"/>
  <c r="AK88" i="28"/>
  <c r="BD88" i="28"/>
  <c r="AZ88" i="28"/>
  <c r="AV88" i="28"/>
  <c r="AR88" i="28"/>
  <c r="AN88" i="28"/>
  <c r="AJ88" i="28"/>
  <c r="BC88" i="28"/>
  <c r="AY88" i="28"/>
  <c r="AU88" i="28"/>
  <c r="AQ88" i="28"/>
  <c r="AM88" i="28"/>
  <c r="AI88" i="28"/>
  <c r="BB92" i="28"/>
  <c r="AX92" i="28"/>
  <c r="AT92" i="28"/>
  <c r="AP92" i="28"/>
  <c r="AL92" i="28"/>
  <c r="BA92" i="28"/>
  <c r="AW92" i="28"/>
  <c r="AS92" i="28"/>
  <c r="AO92" i="28"/>
  <c r="AK92" i="28"/>
  <c r="BD92" i="28"/>
  <c r="AZ92" i="28"/>
  <c r="AV92" i="28"/>
  <c r="AR92" i="28"/>
  <c r="AN92" i="28"/>
  <c r="AJ92" i="28"/>
  <c r="BC92" i="28"/>
  <c r="AY92" i="28"/>
  <c r="AU92" i="28"/>
  <c r="AQ92" i="28"/>
  <c r="AM92" i="28"/>
  <c r="AI92" i="28"/>
  <c r="BB96" i="28"/>
  <c r="AX96" i="28"/>
  <c r="AT96" i="28"/>
  <c r="AP96" i="28"/>
  <c r="AL96" i="28"/>
  <c r="BA96" i="28"/>
  <c r="AW96" i="28"/>
  <c r="AS96" i="28"/>
  <c r="AO96" i="28"/>
  <c r="AK96" i="28"/>
  <c r="BD96" i="28"/>
  <c r="AZ96" i="28"/>
  <c r="AV96" i="28"/>
  <c r="AR96" i="28"/>
  <c r="AN96" i="28"/>
  <c r="AJ96" i="28"/>
  <c r="BC96" i="28"/>
  <c r="AY96" i="28"/>
  <c r="AU96" i="28"/>
  <c r="AQ96" i="28"/>
  <c r="AM96" i="28"/>
  <c r="AI96" i="28"/>
  <c r="BB100" i="28"/>
  <c r="AX100" i="28"/>
  <c r="AT100" i="28"/>
  <c r="AP100" i="28"/>
  <c r="AL100" i="28"/>
  <c r="BA100" i="28"/>
  <c r="AW100" i="28"/>
  <c r="AS100" i="28"/>
  <c r="AO100" i="28"/>
  <c r="AK100" i="28"/>
  <c r="BD100" i="28"/>
  <c r="AZ100" i="28"/>
  <c r="AV100" i="28"/>
  <c r="AR100" i="28"/>
  <c r="AN100" i="28"/>
  <c r="AJ100" i="28"/>
  <c r="BC100" i="28"/>
  <c r="AY100" i="28"/>
  <c r="AU100" i="28"/>
  <c r="AQ100" i="28"/>
  <c r="AM100" i="28"/>
  <c r="AI100" i="28"/>
  <c r="BA65" i="28"/>
  <c r="AW65" i="28"/>
  <c r="AS65" i="28"/>
  <c r="AO65" i="28"/>
  <c r="AK65" i="28"/>
  <c r="BD65" i="28"/>
  <c r="AZ65" i="28"/>
  <c r="AV65" i="28"/>
  <c r="AR65" i="28"/>
  <c r="AN65" i="28"/>
  <c r="AJ65" i="28"/>
  <c r="BC65" i="28"/>
  <c r="AY65" i="28"/>
  <c r="AU65" i="28"/>
  <c r="AQ65" i="28"/>
  <c r="AM65" i="28"/>
  <c r="AI65" i="28"/>
  <c r="BB65" i="28"/>
  <c r="AX65" i="28"/>
  <c r="AT65" i="28"/>
  <c r="AP65" i="28"/>
  <c r="AL65" i="28"/>
  <c r="BA69" i="28"/>
  <c r="AW69" i="28"/>
  <c r="AS69" i="28"/>
  <c r="AO69" i="28"/>
  <c r="AK69" i="28"/>
  <c r="BD69" i="28"/>
  <c r="AZ69" i="28"/>
  <c r="AV69" i="28"/>
  <c r="AR69" i="28"/>
  <c r="AN69" i="28"/>
  <c r="AJ69" i="28"/>
  <c r="BC69" i="28"/>
  <c r="AY69" i="28"/>
  <c r="AU69" i="28"/>
  <c r="AQ69" i="28"/>
  <c r="AM69" i="28"/>
  <c r="AI69" i="28"/>
  <c r="BB69" i="28"/>
  <c r="AX69" i="28"/>
  <c r="AT69" i="28"/>
  <c r="AP69" i="28"/>
  <c r="AL69" i="28"/>
  <c r="BB73" i="28"/>
  <c r="AX73" i="28"/>
  <c r="AT73" i="28"/>
  <c r="AP73" i="28"/>
  <c r="AL73" i="28"/>
  <c r="BA73" i="28"/>
  <c r="AW73" i="28"/>
  <c r="AS73" i="28"/>
  <c r="AO73" i="28"/>
  <c r="AK73" i="28"/>
  <c r="P73" i="28"/>
  <c r="BD73" i="28"/>
  <c r="AZ73" i="28"/>
  <c r="AV73" i="28"/>
  <c r="AR73" i="28"/>
  <c r="AN73" i="28"/>
  <c r="AJ73" i="28"/>
  <c r="BC73" i="28"/>
  <c r="AY73" i="28"/>
  <c r="AU73" i="28"/>
  <c r="AQ73" i="28"/>
  <c r="AM73" i="28"/>
  <c r="AI73" i="28"/>
  <c r="R73" i="28"/>
  <c r="BB77" i="28"/>
  <c r="AX77" i="28"/>
  <c r="AT77" i="28"/>
  <c r="AP77" i="28"/>
  <c r="AL77" i="28"/>
  <c r="BA77" i="28"/>
  <c r="AW77" i="28"/>
  <c r="AS77" i="28"/>
  <c r="AO77" i="28"/>
  <c r="AK77" i="28"/>
  <c r="BD77" i="28"/>
  <c r="AZ77" i="28"/>
  <c r="AV77" i="28"/>
  <c r="AR77" i="28"/>
  <c r="AN77" i="28"/>
  <c r="AJ77" i="28"/>
  <c r="BC77" i="28"/>
  <c r="AY77" i="28"/>
  <c r="AU77" i="28"/>
  <c r="AQ77" i="28"/>
  <c r="AM77" i="28"/>
  <c r="AI77" i="28"/>
  <c r="BB81" i="28"/>
  <c r="AX81" i="28"/>
  <c r="AT81" i="28"/>
  <c r="AP81" i="28"/>
  <c r="AL81" i="28"/>
  <c r="BA81" i="28"/>
  <c r="AW81" i="28"/>
  <c r="AS81" i="28"/>
  <c r="AO81" i="28"/>
  <c r="AK81" i="28"/>
  <c r="P81" i="28"/>
  <c r="BD81" i="28"/>
  <c r="AZ81" i="28"/>
  <c r="AV81" i="28"/>
  <c r="AR81" i="28"/>
  <c r="AN81" i="28"/>
  <c r="AJ81" i="28"/>
  <c r="BC81" i="28"/>
  <c r="AY81" i="28"/>
  <c r="AU81" i="28"/>
  <c r="AQ81" i="28"/>
  <c r="AM81" i="28"/>
  <c r="AI81" i="28"/>
  <c r="R81" i="28"/>
  <c r="BB85" i="28"/>
  <c r="AX85" i="28"/>
  <c r="AT85" i="28"/>
  <c r="AP85" i="28"/>
  <c r="AL85" i="28"/>
  <c r="BA85" i="28"/>
  <c r="AW85" i="28"/>
  <c r="AS85" i="28"/>
  <c r="AO85" i="28"/>
  <c r="AK85" i="28"/>
  <c r="BD85" i="28"/>
  <c r="AZ85" i="28"/>
  <c r="AV85" i="28"/>
  <c r="AR85" i="28"/>
  <c r="AN85" i="28"/>
  <c r="AJ85" i="28"/>
  <c r="BC85" i="28"/>
  <c r="AY85" i="28"/>
  <c r="AU85" i="28"/>
  <c r="AQ85" i="28"/>
  <c r="AM85" i="28"/>
  <c r="AI85" i="28"/>
  <c r="BB89" i="28"/>
  <c r="AX89" i="28"/>
  <c r="AT89" i="28"/>
  <c r="AP89" i="28"/>
  <c r="AL89" i="28"/>
  <c r="BA89" i="28"/>
  <c r="AW89" i="28"/>
  <c r="AS89" i="28"/>
  <c r="AO89" i="28"/>
  <c r="AK89" i="28"/>
  <c r="BD89" i="28"/>
  <c r="AZ89" i="28"/>
  <c r="AV89" i="28"/>
  <c r="AR89" i="28"/>
  <c r="AN89" i="28"/>
  <c r="AJ89" i="28"/>
  <c r="BC89" i="28"/>
  <c r="AY89" i="28"/>
  <c r="AU89" i="28"/>
  <c r="AQ89" i="28"/>
  <c r="AM89" i="28"/>
  <c r="AI89" i="28"/>
  <c r="BB93" i="28"/>
  <c r="AX93" i="28"/>
  <c r="AT93" i="28"/>
  <c r="AP93" i="28"/>
  <c r="AL93" i="28"/>
  <c r="BA93" i="28"/>
  <c r="AW93" i="28"/>
  <c r="AS93" i="28"/>
  <c r="AO93" i="28"/>
  <c r="AK93" i="28"/>
  <c r="BD93" i="28"/>
  <c r="AZ93" i="28"/>
  <c r="AV93" i="28"/>
  <c r="AR93" i="28"/>
  <c r="AN93" i="28"/>
  <c r="AJ93" i="28"/>
  <c r="BC93" i="28"/>
  <c r="AY93" i="28"/>
  <c r="AU93" i="28"/>
  <c r="AQ93" i="28"/>
  <c r="AM93" i="28"/>
  <c r="AI93" i="28"/>
  <c r="BB97" i="28"/>
  <c r="AX97" i="28"/>
  <c r="AT97" i="28"/>
  <c r="AP97" i="28"/>
  <c r="AL97" i="28"/>
  <c r="BA97" i="28"/>
  <c r="AW97" i="28"/>
  <c r="AS97" i="28"/>
  <c r="AO97" i="28"/>
  <c r="AK97" i="28"/>
  <c r="BD97" i="28"/>
  <c r="AZ97" i="28"/>
  <c r="AV97" i="28"/>
  <c r="AR97" i="28"/>
  <c r="AN97" i="28"/>
  <c r="AJ97" i="28"/>
  <c r="BC97" i="28"/>
  <c r="AY97" i="28"/>
  <c r="AU97" i="28"/>
  <c r="AQ97" i="28"/>
  <c r="AM97" i="28"/>
  <c r="AI97" i="28"/>
  <c r="BD101" i="28"/>
  <c r="BB101" i="28"/>
  <c r="AX101" i="28"/>
  <c r="AT101" i="28"/>
  <c r="AP101" i="28"/>
  <c r="AL101" i="28"/>
  <c r="BA101" i="28"/>
  <c r="AW101" i="28"/>
  <c r="AS101" i="28"/>
  <c r="AO101" i="28"/>
  <c r="AK101" i="28"/>
  <c r="AZ101" i="28"/>
  <c r="AV101" i="28"/>
  <c r="AR101" i="28"/>
  <c r="AN101" i="28"/>
  <c r="AJ101" i="28"/>
  <c r="BC101" i="28"/>
  <c r="AY101" i="28"/>
  <c r="AU101" i="28"/>
  <c r="AQ101" i="28"/>
  <c r="AM101" i="28"/>
  <c r="AI101" i="28"/>
  <c r="AH60" i="29"/>
  <c r="AD60" i="29"/>
  <c r="Z60" i="29"/>
  <c r="AG60" i="29"/>
  <c r="AC60" i="29"/>
  <c r="Y60" i="29"/>
  <c r="AF60" i="29"/>
  <c r="AB60" i="29"/>
  <c r="X60" i="29"/>
  <c r="AE60" i="29"/>
  <c r="AA60" i="29"/>
  <c r="AH64" i="29"/>
  <c r="AD64" i="29"/>
  <c r="Z64" i="29"/>
  <c r="AG64" i="29"/>
  <c r="AC64" i="29"/>
  <c r="Y64" i="29"/>
  <c r="AF64" i="29"/>
  <c r="AB64" i="29"/>
  <c r="X64" i="29"/>
  <c r="AE64" i="29"/>
  <c r="AA64" i="29"/>
  <c r="AH68" i="29"/>
  <c r="AD68" i="29"/>
  <c r="Z68" i="29"/>
  <c r="AG68" i="29"/>
  <c r="AC68" i="29"/>
  <c r="Y68" i="29"/>
  <c r="AF68" i="29"/>
  <c r="AB68" i="29"/>
  <c r="X68" i="29"/>
  <c r="AE68" i="29"/>
  <c r="AA68" i="29"/>
  <c r="AH72" i="29"/>
  <c r="AD72" i="29"/>
  <c r="Z72" i="29"/>
  <c r="AG72" i="29"/>
  <c r="AC72" i="29"/>
  <c r="Y72" i="29"/>
  <c r="AF72" i="29"/>
  <c r="AB72" i="29"/>
  <c r="X72" i="29"/>
  <c r="AE72" i="29"/>
  <c r="AA72" i="29"/>
  <c r="AF76" i="29"/>
  <c r="AB76" i="29"/>
  <c r="X76" i="29"/>
  <c r="AE76" i="29"/>
  <c r="AA76" i="29"/>
  <c r="AH76" i="29"/>
  <c r="AD76" i="29"/>
  <c r="Z76" i="29"/>
  <c r="AG76" i="29"/>
  <c r="AC76" i="29"/>
  <c r="Y76" i="29"/>
  <c r="AF80" i="29"/>
  <c r="AB80" i="29"/>
  <c r="X80" i="29"/>
  <c r="AE80" i="29"/>
  <c r="AA80" i="29"/>
  <c r="AH80" i="29"/>
  <c r="AD80" i="29"/>
  <c r="Z80" i="29"/>
  <c r="AG80" i="29"/>
  <c r="AC80" i="29"/>
  <c r="Y80" i="29"/>
  <c r="Z47" i="29"/>
  <c r="AD47" i="29"/>
  <c r="AH47" i="29"/>
  <c r="X48" i="29"/>
  <c r="AB48" i="29"/>
  <c r="AF48" i="29"/>
  <c r="Z49" i="29"/>
  <c r="AD49" i="29"/>
  <c r="AH49" i="29"/>
  <c r="X50" i="29"/>
  <c r="AB50" i="29"/>
  <c r="AF50" i="29"/>
  <c r="Z51" i="29"/>
  <c r="AD51" i="29"/>
  <c r="AH51" i="29"/>
  <c r="X52" i="29"/>
  <c r="AB52" i="29"/>
  <c r="AF52" i="29"/>
  <c r="Z53" i="29"/>
  <c r="AD53" i="29"/>
  <c r="AH53" i="29"/>
  <c r="X54" i="29"/>
  <c r="AB54" i="29"/>
  <c r="AF54" i="29"/>
  <c r="Z55" i="29"/>
  <c r="AD55" i="29"/>
  <c r="AH55" i="29"/>
  <c r="X56" i="29"/>
  <c r="AB56" i="29"/>
  <c r="AF56" i="29"/>
  <c r="Z57" i="29"/>
  <c r="AA58" i="29"/>
  <c r="AF57" i="29"/>
  <c r="AE57" i="29"/>
  <c r="AH57" i="29"/>
  <c r="AD57" i="29"/>
  <c r="AF61" i="29"/>
  <c r="AB61" i="29"/>
  <c r="X61" i="29"/>
  <c r="AE61" i="29"/>
  <c r="AA61" i="29"/>
  <c r="AH61" i="29"/>
  <c r="AD61" i="29"/>
  <c r="Z61" i="29"/>
  <c r="AG61" i="29"/>
  <c r="AC61" i="29"/>
  <c r="Y61" i="29"/>
  <c r="AF65" i="29"/>
  <c r="AB65" i="29"/>
  <c r="X65" i="29"/>
  <c r="AE65" i="29"/>
  <c r="AA65" i="29"/>
  <c r="AH65" i="29"/>
  <c r="AD65" i="29"/>
  <c r="Z65" i="29"/>
  <c r="AG65" i="29"/>
  <c r="AC65" i="29"/>
  <c r="Y65" i="29"/>
  <c r="AF69" i="29"/>
  <c r="AB69" i="29"/>
  <c r="X69" i="29"/>
  <c r="AE69" i="29"/>
  <c r="AA69" i="29"/>
  <c r="AH69" i="29"/>
  <c r="AD69" i="29"/>
  <c r="Z69" i="29"/>
  <c r="AG69" i="29"/>
  <c r="AC69" i="29"/>
  <c r="Y69" i="29"/>
  <c r="AH73" i="29"/>
  <c r="AD73" i="29"/>
  <c r="Z73" i="29"/>
  <c r="AG73" i="29"/>
  <c r="AC73" i="29"/>
  <c r="Y73" i="29"/>
  <c r="AF73" i="29"/>
  <c r="AB73" i="29"/>
  <c r="X73" i="29"/>
  <c r="AE73" i="29"/>
  <c r="AA73" i="29"/>
  <c r="AH77" i="29"/>
  <c r="AD77" i="29"/>
  <c r="Z77" i="29"/>
  <c r="AG77" i="29"/>
  <c r="AC77" i="29"/>
  <c r="Y77" i="29"/>
  <c r="AF77" i="29"/>
  <c r="AB77" i="29"/>
  <c r="X77" i="29"/>
  <c r="AE77" i="29"/>
  <c r="AA77" i="29"/>
  <c r="AH81" i="29"/>
  <c r="AD81" i="29"/>
  <c r="Z81" i="29"/>
  <c r="AG81" i="29"/>
  <c r="AC81" i="29"/>
  <c r="Y81" i="29"/>
  <c r="AF81" i="29"/>
  <c r="AB81" i="29"/>
  <c r="X81" i="29"/>
  <c r="AE81" i="29"/>
  <c r="AA81" i="29"/>
  <c r="AA47" i="29"/>
  <c r="AE47" i="29"/>
  <c r="Y48" i="29"/>
  <c r="AC48" i="29"/>
  <c r="AG48" i="29"/>
  <c r="AA49" i="29"/>
  <c r="AE49" i="29"/>
  <c r="Y50" i="29"/>
  <c r="AC50" i="29"/>
  <c r="AG50" i="29"/>
  <c r="AA51" i="29"/>
  <c r="AE51" i="29"/>
  <c r="Y52" i="29"/>
  <c r="AC52" i="29"/>
  <c r="AG52" i="29"/>
  <c r="AA53" i="29"/>
  <c r="AE53" i="29"/>
  <c r="Y54" i="29"/>
  <c r="AC54" i="29"/>
  <c r="AG54" i="29"/>
  <c r="AA55" i="29"/>
  <c r="AE55" i="29"/>
  <c r="Y56" i="29"/>
  <c r="AC56" i="29"/>
  <c r="AG56" i="29"/>
  <c r="AA57" i="29"/>
  <c r="Y59" i="29"/>
  <c r="AH58" i="29"/>
  <c r="AD58" i="29"/>
  <c r="Z58" i="29"/>
  <c r="AG58" i="29"/>
  <c r="AC58" i="29"/>
  <c r="Y58" i="29"/>
  <c r="AF58" i="29"/>
  <c r="AB58" i="29"/>
  <c r="X58" i="29"/>
  <c r="AH62" i="29"/>
  <c r="AD62" i="29"/>
  <c r="Z62" i="29"/>
  <c r="AG62" i="29"/>
  <c r="AC62" i="29"/>
  <c r="Y62" i="29"/>
  <c r="AF62" i="29"/>
  <c r="AB62" i="29"/>
  <c r="X62" i="29"/>
  <c r="AE62" i="29"/>
  <c r="AA62" i="29"/>
  <c r="AH66" i="29"/>
  <c r="AD66" i="29"/>
  <c r="Z66" i="29"/>
  <c r="AG66" i="29"/>
  <c r="AC66" i="29"/>
  <c r="Y66" i="29"/>
  <c r="AF66" i="29"/>
  <c r="AB66" i="29"/>
  <c r="X66" i="29"/>
  <c r="AE66" i="29"/>
  <c r="AA66" i="29"/>
  <c r="AH70" i="29"/>
  <c r="AD70" i="29"/>
  <c r="Z70" i="29"/>
  <c r="AG70" i="29"/>
  <c r="AC70" i="29"/>
  <c r="Y70" i="29"/>
  <c r="AF70" i="29"/>
  <c r="AB70" i="29"/>
  <c r="X70" i="29"/>
  <c r="AE70" i="29"/>
  <c r="AA70" i="29"/>
  <c r="AF74" i="29"/>
  <c r="AB74" i="29"/>
  <c r="X74" i="29"/>
  <c r="AE74" i="29"/>
  <c r="AA74" i="29"/>
  <c r="AH74" i="29"/>
  <c r="AD74" i="29"/>
  <c r="Z74" i="29"/>
  <c r="AG74" i="29"/>
  <c r="AC74" i="29"/>
  <c r="Y74" i="29"/>
  <c r="AF78" i="29"/>
  <c r="AB78" i="29"/>
  <c r="X78" i="29"/>
  <c r="AE78" i="29"/>
  <c r="AA78" i="29"/>
  <c r="AH78" i="29"/>
  <c r="AD78" i="29"/>
  <c r="Z78" i="29"/>
  <c r="AG78" i="29"/>
  <c r="AC78" i="29"/>
  <c r="Y78" i="29"/>
  <c r="AF82" i="29"/>
  <c r="AB82" i="29"/>
  <c r="X82" i="29"/>
  <c r="AE82" i="29"/>
  <c r="AA82" i="29"/>
  <c r="AH82" i="29"/>
  <c r="AD82" i="29"/>
  <c r="Z82" i="29"/>
  <c r="AG82" i="29"/>
  <c r="AC82" i="29"/>
  <c r="Y82" i="29"/>
  <c r="X47" i="29"/>
  <c r="AB47" i="29"/>
  <c r="AF47" i="29"/>
  <c r="Z48" i="29"/>
  <c r="AD48" i="29"/>
  <c r="AH48" i="29"/>
  <c r="L8" i="31" s="1"/>
  <c r="X49" i="29"/>
  <c r="AB49" i="29"/>
  <c r="AF49" i="29"/>
  <c r="Z50" i="29"/>
  <c r="AD50" i="29"/>
  <c r="AH50" i="29"/>
  <c r="X51" i="29"/>
  <c r="AB51" i="29"/>
  <c r="AF51" i="29"/>
  <c r="Z52" i="29"/>
  <c r="AD52" i="29"/>
  <c r="AH52" i="29"/>
  <c r="X53" i="29"/>
  <c r="AB53" i="29"/>
  <c r="AF53" i="29"/>
  <c r="Z54" i="29"/>
  <c r="AD54" i="29"/>
  <c r="AH54" i="29"/>
  <c r="X55" i="29"/>
  <c r="AB55" i="29"/>
  <c r="AF55" i="29"/>
  <c r="Z56" i="29"/>
  <c r="AD56" i="29"/>
  <c r="AH56" i="29"/>
  <c r="X57" i="29"/>
  <c r="AB57" i="29"/>
  <c r="AF59" i="29"/>
  <c r="AB59" i="29"/>
  <c r="X59" i="29"/>
  <c r="AE59" i="29"/>
  <c r="AA59" i="29"/>
  <c r="AH59" i="29"/>
  <c r="AD59" i="29"/>
  <c r="Z59" i="29"/>
  <c r="AF63" i="29"/>
  <c r="AB63" i="29"/>
  <c r="X63" i="29"/>
  <c r="AE63" i="29"/>
  <c r="AA63" i="29"/>
  <c r="AH63" i="29"/>
  <c r="AD63" i="29"/>
  <c r="Z63" i="29"/>
  <c r="AG63" i="29"/>
  <c r="AC63" i="29"/>
  <c r="Y63" i="29"/>
  <c r="AF67" i="29"/>
  <c r="AB67" i="29"/>
  <c r="X67" i="29"/>
  <c r="AE67" i="29"/>
  <c r="AA67" i="29"/>
  <c r="AH67" i="29"/>
  <c r="AD67" i="29"/>
  <c r="Z67" i="29"/>
  <c r="AG67" i="29"/>
  <c r="AC67" i="29"/>
  <c r="Y67" i="29"/>
  <c r="AF71" i="29"/>
  <c r="AB71" i="29"/>
  <c r="X71" i="29"/>
  <c r="AE71" i="29"/>
  <c r="AA71" i="29"/>
  <c r="AH71" i="29"/>
  <c r="AD71" i="29"/>
  <c r="Z71" i="29"/>
  <c r="AG71" i="29"/>
  <c r="AC71" i="29"/>
  <c r="Y71" i="29"/>
  <c r="AH75" i="29"/>
  <c r="AD75" i="29"/>
  <c r="Z75" i="29"/>
  <c r="AG75" i="29"/>
  <c r="AC75" i="29"/>
  <c r="Y75" i="29"/>
  <c r="AF75" i="29"/>
  <c r="AB75" i="29"/>
  <c r="X75" i="29"/>
  <c r="AE75" i="29"/>
  <c r="AA75" i="29"/>
  <c r="AH79" i="29"/>
  <c r="AD79" i="29"/>
  <c r="Z79" i="29"/>
  <c r="AG79" i="29"/>
  <c r="AC79" i="29"/>
  <c r="Y79" i="29"/>
  <c r="AF79" i="29"/>
  <c r="AB79" i="29"/>
  <c r="X79" i="29"/>
  <c r="AE79" i="29"/>
  <c r="AA79" i="29"/>
  <c r="Y47" i="29"/>
  <c r="AC47" i="29"/>
  <c r="AA48" i="29"/>
  <c r="Y49" i="29"/>
  <c r="AC49" i="29"/>
  <c r="AA50" i="29"/>
  <c r="Y51" i="29"/>
  <c r="AC51" i="29"/>
  <c r="AA52" i="29"/>
  <c r="Y53" i="29"/>
  <c r="AC53" i="29"/>
  <c r="AA54" i="29"/>
  <c r="Y55" i="29"/>
  <c r="AC55" i="29"/>
  <c r="AA56" i="29"/>
  <c r="Y57" i="29"/>
  <c r="AC57" i="29"/>
  <c r="AG59" i="29"/>
  <c r="H8" i="31"/>
  <c r="D8" i="31"/>
  <c r="J8" i="31"/>
  <c r="K8" i="31"/>
  <c r="I8" i="31"/>
  <c r="G8" i="31"/>
  <c r="E8" i="31"/>
  <c r="C8" i="31"/>
  <c r="F8" i="31"/>
  <c r="Z6" i="27"/>
  <c r="AH6" i="27" s="1"/>
  <c r="AJ5" i="27"/>
  <c r="AJ6" i="27"/>
  <c r="Z4" i="27"/>
  <c r="AH4" i="27" s="1"/>
  <c r="Z13" i="27"/>
  <c r="AH13" i="27" s="1"/>
  <c r="Z5" i="27"/>
  <c r="AH5" i="27" s="1"/>
  <c r="Z8" i="27"/>
  <c r="AH8" i="27" s="1"/>
  <c r="U9" i="27"/>
  <c r="AI9" i="27" s="1"/>
  <c r="U10" i="27"/>
  <c r="AI10" i="27" s="1"/>
  <c r="U11" i="27"/>
  <c r="AI11" i="27" s="1"/>
  <c r="R10" i="27"/>
  <c r="X10" i="27" s="1"/>
  <c r="AF10" i="27" s="1"/>
  <c r="R11" i="27"/>
  <c r="Z3" i="27"/>
  <c r="AH3" i="27" s="1"/>
  <c r="X5" i="27"/>
  <c r="AF5" i="27" s="1"/>
  <c r="AI6" i="27"/>
  <c r="Z7" i="27"/>
  <c r="AH7" i="27" s="1"/>
  <c r="U12" i="27"/>
  <c r="AJ3" i="27"/>
  <c r="AJ7" i="27"/>
  <c r="X13" i="27"/>
  <c r="AF13" i="27" s="1"/>
  <c r="AI5" i="17"/>
  <c r="AO7" i="16"/>
  <c r="AO8" i="16" s="1"/>
  <c r="AJ4" i="16"/>
  <c r="AJ7" i="16" s="1"/>
  <c r="AT7" i="16"/>
  <c r="AG54" i="8"/>
  <c r="AG54" i="9"/>
  <c r="AG54" i="7"/>
  <c r="Z54" i="8"/>
  <c r="Z58" i="8" s="1"/>
  <c r="Z5" i="9" s="1"/>
  <c r="Z54" i="9"/>
  <c r="Z54" i="7"/>
  <c r="F18" i="5"/>
  <c r="AA56" i="9"/>
  <c r="AA56" i="8"/>
  <c r="AA58" i="6"/>
  <c r="AA56" i="7"/>
  <c r="AA54" i="8"/>
  <c r="AA58" i="8" s="1"/>
  <c r="AA16" i="9" s="1"/>
  <c r="AA54" i="9"/>
  <c r="AA54" i="7"/>
  <c r="U54" i="8"/>
  <c r="U58" i="8" s="1"/>
  <c r="U54" i="9"/>
  <c r="U54" i="7"/>
  <c r="Z44" i="13"/>
  <c r="Z44" i="12"/>
  <c r="Z48" i="12" s="1"/>
  <c r="Z44" i="11"/>
  <c r="Z48" i="11" s="1"/>
  <c r="Z44" i="10"/>
  <c r="D45" i="5"/>
  <c r="U46" i="13"/>
  <c r="U46" i="12"/>
  <c r="U46" i="11"/>
  <c r="U46" i="10"/>
  <c r="Z45" i="13"/>
  <c r="Z45" i="12"/>
  <c r="Z45" i="11"/>
  <c r="Z45" i="10"/>
  <c r="E45" i="5"/>
  <c r="P54" i="8"/>
  <c r="P58" i="8" s="1"/>
  <c r="P54" i="9"/>
  <c r="P54" i="7"/>
  <c r="F41" i="5"/>
  <c r="AH54" i="8"/>
  <c r="AH54" i="9"/>
  <c r="AH54" i="7"/>
  <c r="AD54" i="8"/>
  <c r="AD54" i="9"/>
  <c r="AD54" i="7"/>
  <c r="AB54" i="8"/>
  <c r="AB54" i="9"/>
  <c r="AB54" i="7"/>
  <c r="AJ54" i="8"/>
  <c r="AJ58" i="8" s="1"/>
  <c r="AJ54" i="9"/>
  <c r="AJ54" i="7"/>
  <c r="AL54" i="8"/>
  <c r="AL54" i="9"/>
  <c r="AL54" i="7"/>
  <c r="AI54" i="8"/>
  <c r="AI58" i="8" s="1"/>
  <c r="AI54" i="9"/>
  <c r="AI54" i="7"/>
  <c r="W45" i="13"/>
  <c r="W45" i="12"/>
  <c r="W45" i="11"/>
  <c r="W45" i="10"/>
  <c r="Y44" i="13"/>
  <c r="Y44" i="12"/>
  <c r="Y44" i="10"/>
  <c r="Y44" i="11"/>
  <c r="Z46" i="11"/>
  <c r="Z46" i="13"/>
  <c r="Z46" i="12"/>
  <c r="Z46" i="10"/>
  <c r="U58" i="6"/>
  <c r="Z58" i="6"/>
  <c r="AE54" i="9"/>
  <c r="AE54" i="8"/>
  <c r="Y46" i="11"/>
  <c r="Y46" i="13"/>
  <c r="Y46" i="12"/>
  <c r="Y46" i="10"/>
  <c r="L54" i="8"/>
  <c r="L58" i="8" s="1"/>
  <c r="L54" i="9"/>
  <c r="Q54" i="8"/>
  <c r="Q58" i="8" s="1"/>
  <c r="Q54" i="9"/>
  <c r="Q54" i="7"/>
  <c r="AH55" i="9"/>
  <c r="AH55" i="8"/>
  <c r="AF54" i="8"/>
  <c r="AF54" i="9"/>
  <c r="AF54" i="7"/>
  <c r="AJ57" i="6"/>
  <c r="AB55" i="8"/>
  <c r="AD55" i="9"/>
  <c r="AD55" i="8"/>
  <c r="F28" i="5"/>
  <c r="AH56" i="9"/>
  <c r="AH56" i="8"/>
  <c r="W56" i="6"/>
  <c r="AJ58" i="6"/>
  <c r="L54" i="7"/>
  <c r="M54" i="9"/>
  <c r="M54" i="8"/>
  <c r="M58" i="8" s="1"/>
  <c r="R54" i="8"/>
  <c r="R58" i="8" s="1"/>
  <c r="R54" i="9"/>
  <c r="AB57" i="6"/>
  <c r="AK54" i="9"/>
  <c r="AK54" i="8"/>
  <c r="AK58" i="8" s="1"/>
  <c r="AH55" i="7"/>
  <c r="M54" i="7"/>
  <c r="F37" i="5"/>
  <c r="R46" i="13"/>
  <c r="R46" i="12"/>
  <c r="R46" i="11"/>
  <c r="R46" i="10"/>
  <c r="AI55" i="9"/>
  <c r="AI55" i="8"/>
  <c r="AI55" i="7"/>
  <c r="R54" i="7"/>
  <c r="X54" i="8"/>
  <c r="X58" i="8" s="1"/>
  <c r="X54" i="9"/>
  <c r="X54" i="7"/>
  <c r="AC54" i="8"/>
  <c r="AC58" i="8" s="1"/>
  <c r="AC54" i="9"/>
  <c r="AC54" i="7"/>
  <c r="AG58" i="6"/>
  <c r="AJ55" i="7"/>
  <c r="AD56" i="9"/>
  <c r="AD56" i="8"/>
  <c r="AI56" i="9"/>
  <c r="AI56" i="8"/>
  <c r="O54" i="8"/>
  <c r="O58" i="8" s="1"/>
  <c r="O54" i="9"/>
  <c r="O54" i="7"/>
  <c r="S54" i="9"/>
  <c r="S54" i="8"/>
  <c r="AJ56" i="8"/>
  <c r="AJ55" i="9"/>
  <c r="AG56" i="9"/>
  <c r="AG56" i="8"/>
  <c r="E28" i="5"/>
  <c r="V56" i="9"/>
  <c r="V56" i="8"/>
  <c r="AH57" i="6"/>
  <c r="V56" i="7"/>
  <c r="AH56" i="7"/>
  <c r="AA46" i="13"/>
  <c r="AA46" i="12"/>
  <c r="AA46" i="11"/>
  <c r="AA46" i="10"/>
  <c r="U56" i="9"/>
  <c r="U56" i="8"/>
  <c r="W44" i="11"/>
  <c r="W44" i="13"/>
  <c r="W44" i="12"/>
  <c r="W44" i="10"/>
  <c r="Z56" i="9"/>
  <c r="Z56" i="8"/>
  <c r="P16" i="5"/>
  <c r="AH58" i="6"/>
  <c r="AI56" i="7"/>
  <c r="AA51" i="9"/>
  <c r="AA49" i="9"/>
  <c r="AA47" i="9"/>
  <c r="AA45" i="9"/>
  <c r="AA43" i="9"/>
  <c r="AA41" i="9"/>
  <c r="AA39" i="9"/>
  <c r="AA37" i="9"/>
  <c r="AA35" i="9"/>
  <c r="AA33" i="9"/>
  <c r="AA31" i="9"/>
  <c r="AA29" i="9"/>
  <c r="AA27" i="9"/>
  <c r="AA25" i="9"/>
  <c r="AA23" i="9"/>
  <c r="AA21" i="9"/>
  <c r="AA19" i="9"/>
  <c r="AA46" i="9"/>
  <c r="AA42" i="9"/>
  <c r="AA30" i="9"/>
  <c r="AA44" i="9"/>
  <c r="AA50" i="9"/>
  <c r="AA48" i="9"/>
  <c r="AA40" i="9"/>
  <c r="AA28" i="9"/>
  <c r="AA34" i="9"/>
  <c r="AA13" i="9"/>
  <c r="AA32" i="9"/>
  <c r="AA26" i="9"/>
  <c r="AA17" i="9"/>
  <c r="AA14" i="9"/>
  <c r="AA36" i="9"/>
  <c r="AA24" i="9"/>
  <c r="AA12" i="9"/>
  <c r="AA10" i="9"/>
  <c r="AA8" i="9"/>
  <c r="AA6" i="9"/>
  <c r="AA22" i="9"/>
  <c r="AA20" i="9"/>
  <c r="AA18" i="9"/>
  <c r="AA15" i="9"/>
  <c r="Z11" i="9"/>
  <c r="Z21" i="9"/>
  <c r="AA11" i="9"/>
  <c r="Z9" i="9"/>
  <c r="AA38" i="9"/>
  <c r="AA9" i="9"/>
  <c r="Z7" i="9"/>
  <c r="Z41" i="9"/>
  <c r="AA7" i="9"/>
  <c r="AA5" i="9"/>
  <c r="Z51" i="9"/>
  <c r="Z49" i="9"/>
  <c r="Z50" i="9"/>
  <c r="Z48" i="9"/>
  <c r="Z46" i="9"/>
  <c r="Z44" i="9"/>
  <c r="Z42" i="9"/>
  <c r="Z40" i="9"/>
  <c r="Z43" i="9"/>
  <c r="Z37" i="9"/>
  <c r="Z20" i="9"/>
  <c r="Z30" i="9"/>
  <c r="Z23" i="9"/>
  <c r="Z47" i="9"/>
  <c r="Z45" i="9"/>
  <c r="Z39" i="9"/>
  <c r="Z32" i="9"/>
  <c r="Z25" i="9"/>
  <c r="Z35" i="9"/>
  <c r="Z38" i="9"/>
  <c r="Z19" i="9"/>
  <c r="Z16" i="9"/>
  <c r="Z34" i="9"/>
  <c r="Z13" i="9"/>
  <c r="Z28" i="9"/>
  <c r="Z26" i="9"/>
  <c r="Z17" i="9"/>
  <c r="Z14" i="9"/>
  <c r="Z36" i="9"/>
  <c r="Z24" i="9"/>
  <c r="Z12" i="9"/>
  <c r="Z10" i="9"/>
  <c r="Z8" i="9"/>
  <c r="Z6" i="9"/>
  <c r="Z22" i="9"/>
  <c r="Z33" i="9"/>
  <c r="Z31" i="9"/>
  <c r="Z18" i="9"/>
  <c r="Z15" i="9"/>
  <c r="Z27" i="9"/>
  <c r="Z29" i="9"/>
  <c r="M67" i="6"/>
  <c r="M66" i="6"/>
  <c r="M68" i="6"/>
  <c r="D36" i="5"/>
  <c r="E36" i="5"/>
  <c r="K10" i="31" l="1"/>
  <c r="I15" i="28"/>
  <c r="I15" i="7"/>
  <c r="I15" i="8"/>
  <c r="I15" i="6"/>
  <c r="I15" i="9"/>
  <c r="I15" i="14"/>
  <c r="I9" i="28"/>
  <c r="I9" i="8"/>
  <c r="I9" i="6"/>
  <c r="I9" i="7"/>
  <c r="I9" i="14"/>
  <c r="I9" i="9"/>
  <c r="I6" i="28"/>
  <c r="I6" i="14"/>
  <c r="I6" i="9"/>
  <c r="I6" i="6"/>
  <c r="I6" i="8"/>
  <c r="I6" i="7"/>
  <c r="I41" i="29"/>
  <c r="I41" i="13"/>
  <c r="I41" i="12"/>
  <c r="I41" i="10"/>
  <c r="AB43" i="10" s="1"/>
  <c r="I41" i="11"/>
  <c r="I5" i="28"/>
  <c r="I5" i="8"/>
  <c r="I5" i="6"/>
  <c r="I5" i="7"/>
  <c r="I5" i="14"/>
  <c r="I5" i="9"/>
  <c r="P12" i="5"/>
  <c r="P15" i="5" s="1"/>
  <c r="P14" i="5"/>
  <c r="P17" i="5" s="1"/>
  <c r="I11" i="28"/>
  <c r="I11" i="7"/>
  <c r="M63" i="6" s="1"/>
  <c r="I11" i="8"/>
  <c r="I11" i="6"/>
  <c r="I11" i="14"/>
  <c r="I11" i="9"/>
  <c r="I10" i="28"/>
  <c r="I10" i="14"/>
  <c r="I10" i="9"/>
  <c r="I10" i="7"/>
  <c r="I10" i="6"/>
  <c r="X55" i="6" s="1"/>
  <c r="X60" i="6" s="1"/>
  <c r="I10" i="8"/>
  <c r="B10" i="31"/>
  <c r="B8" i="31"/>
  <c r="M8" i="31" s="1"/>
  <c r="I10" i="31"/>
  <c r="G10" i="31"/>
  <c r="E10" i="31"/>
  <c r="L10" i="31"/>
  <c r="C10" i="31"/>
  <c r="J10" i="31"/>
  <c r="H10" i="31"/>
  <c r="F10" i="31"/>
  <c r="D10" i="31"/>
  <c r="AI12" i="27"/>
  <c r="X12" i="27"/>
  <c r="AF12" i="27" s="1"/>
  <c r="X11" i="27"/>
  <c r="AF11" i="27" s="1"/>
  <c r="X9" i="27"/>
  <c r="AF9" i="27" s="1"/>
  <c r="AT8" i="16"/>
  <c r="AJ8" i="16"/>
  <c r="AA53" i="9"/>
  <c r="Z53" i="9"/>
  <c r="E37" i="5"/>
  <c r="R45" i="11"/>
  <c r="R45" i="13"/>
  <c r="R45" i="12"/>
  <c r="R45" i="10"/>
  <c r="R44" i="13"/>
  <c r="R44" i="12"/>
  <c r="R48" i="12" s="1"/>
  <c r="R47" i="12" s="1"/>
  <c r="R44" i="11"/>
  <c r="R48" i="11" s="1"/>
  <c r="R47" i="11" s="1"/>
  <c r="R44" i="10"/>
  <c r="AA45" i="13"/>
  <c r="AA45" i="12"/>
  <c r="AA45" i="11"/>
  <c r="AA45" i="10"/>
  <c r="W54" i="8"/>
  <c r="W58" i="8" s="1"/>
  <c r="W54" i="9"/>
  <c r="W54" i="7"/>
  <c r="S46" i="13"/>
  <c r="S46" i="12"/>
  <c r="S46" i="11"/>
  <c r="S46" i="10"/>
  <c r="AL56" i="9"/>
  <c r="AL56" i="8"/>
  <c r="AL58" i="6"/>
  <c r="AL56" i="7"/>
  <c r="AB56" i="9"/>
  <c r="AB56" i="8"/>
  <c r="AB58" i="6"/>
  <c r="AB56" i="7"/>
  <c r="AL55" i="9"/>
  <c r="AL55" i="8"/>
  <c r="AL55" i="7"/>
  <c r="AL57" i="6"/>
  <c r="AH58" i="8"/>
  <c r="W46" i="11"/>
  <c r="W46" i="13"/>
  <c r="W46" i="12"/>
  <c r="W46" i="10"/>
  <c r="AA44" i="13"/>
  <c r="AA44" i="12"/>
  <c r="AA44" i="11"/>
  <c r="AA44" i="10"/>
  <c r="M64" i="6"/>
  <c r="M70" i="6" s="1"/>
  <c r="D37" i="5"/>
  <c r="D30" i="5"/>
  <c r="X44" i="7" l="1"/>
  <c r="X36" i="7"/>
  <c r="X45" i="7"/>
  <c r="X37" i="7"/>
  <c r="X26" i="7"/>
  <c r="X18" i="7"/>
  <c r="X12" i="7"/>
  <c r="X51" i="7"/>
  <c r="X23" i="7"/>
  <c r="X15" i="7"/>
  <c r="X32" i="7"/>
  <c r="X50" i="7"/>
  <c r="X42" i="7"/>
  <c r="X34" i="7"/>
  <c r="X43" i="7"/>
  <c r="X35" i="7"/>
  <c r="X24" i="7"/>
  <c r="X16" i="7"/>
  <c r="X10" i="7"/>
  <c r="X30" i="7"/>
  <c r="X21" i="7"/>
  <c r="X13" i="7"/>
  <c r="X29" i="7"/>
  <c r="X48" i="7"/>
  <c r="X40" i="7"/>
  <c r="X49" i="7"/>
  <c r="X41" i="7"/>
  <c r="X33" i="7"/>
  <c r="X22" i="7"/>
  <c r="X14" i="7"/>
  <c r="X8" i="7"/>
  <c r="X27" i="7"/>
  <c r="X19" i="7"/>
  <c r="X11" i="7"/>
  <c r="X7" i="7"/>
  <c r="X46" i="7"/>
  <c r="X38" i="7"/>
  <c r="X47" i="7"/>
  <c r="X39" i="7"/>
  <c r="X28" i="7"/>
  <c r="X20" i="7"/>
  <c r="X31" i="7"/>
  <c r="X6" i="7"/>
  <c r="X25" i="7"/>
  <c r="X17" i="7"/>
  <c r="X9" i="7"/>
  <c r="X5" i="7"/>
  <c r="AW63" i="28"/>
  <c r="BD63" i="28"/>
  <c r="AN63" i="28"/>
  <c r="AY63" i="28"/>
  <c r="AI63" i="28"/>
  <c r="AP63" i="28"/>
  <c r="AS63" i="28"/>
  <c r="AZ63" i="28"/>
  <c r="AJ63" i="28"/>
  <c r="AU63" i="28"/>
  <c r="BB63" i="28"/>
  <c r="AL63" i="28"/>
  <c r="AO63" i="28"/>
  <c r="AV63" i="28"/>
  <c r="AQ63" i="28"/>
  <c r="AX63" i="28"/>
  <c r="BA63" i="28"/>
  <c r="AK63" i="28"/>
  <c r="AR63" i="28"/>
  <c r="BC63" i="28"/>
  <c r="AM63" i="28"/>
  <c r="AT63" i="28"/>
  <c r="BA58" i="28"/>
  <c r="AK58" i="28"/>
  <c r="AR58" i="28"/>
  <c r="BC58" i="28"/>
  <c r="AM58" i="28"/>
  <c r="AT58" i="28"/>
  <c r="AW58" i="28"/>
  <c r="BD58" i="28"/>
  <c r="AN58" i="28"/>
  <c r="AY58" i="28"/>
  <c r="AI58" i="28"/>
  <c r="AP58" i="28"/>
  <c r="AS58" i="28"/>
  <c r="AZ58" i="28"/>
  <c r="AJ58" i="28"/>
  <c r="AU58" i="28"/>
  <c r="BB58" i="28"/>
  <c r="AL58" i="28"/>
  <c r="AO58" i="28"/>
  <c r="AV58" i="28"/>
  <c r="AQ58" i="28"/>
  <c r="AX58" i="28"/>
  <c r="AA55" i="6"/>
  <c r="W55" i="6"/>
  <c r="W60" i="6" s="1"/>
  <c r="R55" i="6"/>
  <c r="R60" i="6" s="1"/>
  <c r="U55" i="6"/>
  <c r="U60" i="6" s="1"/>
  <c r="AE55" i="6"/>
  <c r="AE60" i="6" s="1"/>
  <c r="O55" i="6"/>
  <c r="O60" i="6" s="1"/>
  <c r="Z55" i="6"/>
  <c r="V55" i="6"/>
  <c r="AC55" i="6"/>
  <c r="AC60" i="6" s="1"/>
  <c r="L55" i="6"/>
  <c r="L60" i="6" s="1"/>
  <c r="AH55" i="6"/>
  <c r="AH60" i="6" s="1"/>
  <c r="Y55" i="6"/>
  <c r="AF55" i="6"/>
  <c r="AF60" i="6" s="1"/>
  <c r="S55" i="6"/>
  <c r="S60" i="6" s="1"/>
  <c r="Q55" i="6"/>
  <c r="Q60" i="6" s="1"/>
  <c r="P55" i="6"/>
  <c r="P60" i="6" s="1"/>
  <c r="AS67" i="28"/>
  <c r="AZ67" i="28"/>
  <c r="AJ67" i="28"/>
  <c r="AU67" i="28"/>
  <c r="BB67" i="28"/>
  <c r="AL67" i="28"/>
  <c r="AO67" i="28"/>
  <c r="AV67" i="28"/>
  <c r="AQ67" i="28"/>
  <c r="AX67" i="28"/>
  <c r="BA67" i="28"/>
  <c r="AK67" i="28"/>
  <c r="AR67" i="28"/>
  <c r="BC67" i="28"/>
  <c r="AM67" i="28"/>
  <c r="AT67" i="28"/>
  <c r="AW67" i="28"/>
  <c r="BD67" i="28"/>
  <c r="AN67" i="28"/>
  <c r="AY67" i="28"/>
  <c r="AI67" i="28"/>
  <c r="AP67" i="28"/>
  <c r="M14" i="6"/>
  <c r="M12" i="6"/>
  <c r="M8" i="6"/>
  <c r="M7" i="6"/>
  <c r="M13" i="6"/>
  <c r="M11" i="6"/>
  <c r="BA57" i="28"/>
  <c r="AK57" i="28"/>
  <c r="AR57" i="28"/>
  <c r="BC57" i="28"/>
  <c r="AM57" i="28"/>
  <c r="AT57" i="28"/>
  <c r="AW57" i="28"/>
  <c r="BD57" i="28"/>
  <c r="AN57" i="28"/>
  <c r="AY57" i="28"/>
  <c r="AI57" i="28"/>
  <c r="AP57" i="28"/>
  <c r="AS57" i="28"/>
  <c r="AZ57" i="28"/>
  <c r="AJ57" i="28"/>
  <c r="AU57" i="28"/>
  <c r="BB57" i="28"/>
  <c r="AL57" i="28"/>
  <c r="AO57" i="28"/>
  <c r="AV57" i="28"/>
  <c r="AQ57" i="28"/>
  <c r="AX57" i="28"/>
  <c r="AW62" i="28"/>
  <c r="BD62" i="28"/>
  <c r="AN62" i="28"/>
  <c r="AY62" i="28"/>
  <c r="AI62" i="28"/>
  <c r="AP62" i="28"/>
  <c r="AS62" i="28"/>
  <c r="AZ62" i="28"/>
  <c r="AJ62" i="28"/>
  <c r="AU62" i="28"/>
  <c r="BB62" i="28"/>
  <c r="AL62" i="28"/>
  <c r="AO62" i="28"/>
  <c r="AV62" i="28"/>
  <c r="AQ62" i="28"/>
  <c r="AX62" i="28"/>
  <c r="BA62" i="28"/>
  <c r="AK62" i="28"/>
  <c r="AR62" i="28"/>
  <c r="BC62" i="28"/>
  <c r="AM62" i="28"/>
  <c r="AT62" i="28"/>
  <c r="AE53" i="7"/>
  <c r="AA53" i="7"/>
  <c r="AA58" i="7" s="1"/>
  <c r="Z53" i="7"/>
  <c r="Z58" i="7" s="1"/>
  <c r="AF53" i="7"/>
  <c r="AG53" i="7"/>
  <c r="Y43" i="11"/>
  <c r="X43" i="11"/>
  <c r="AD83" i="29"/>
  <c r="H6" i="31" s="1"/>
  <c r="AG83" i="29"/>
  <c r="K6" i="31" s="1"/>
  <c r="X83" i="29"/>
  <c r="B6" i="31" s="1"/>
  <c r="AA83" i="29"/>
  <c r="E6" i="31" s="1"/>
  <c r="Z83" i="29"/>
  <c r="D6" i="31" s="1"/>
  <c r="AC83" i="29"/>
  <c r="G6" i="31" s="1"/>
  <c r="Y83" i="29"/>
  <c r="C6" i="31" s="1"/>
  <c r="AF83" i="29"/>
  <c r="J6" i="31" s="1"/>
  <c r="AH83" i="29"/>
  <c r="L6" i="31" s="1"/>
  <c r="AB83" i="29"/>
  <c r="F6" i="31" s="1"/>
  <c r="AE83" i="29"/>
  <c r="I6" i="31" s="1"/>
  <c r="AW61" i="28"/>
  <c r="BD61" i="28"/>
  <c r="AN61" i="28"/>
  <c r="AY61" i="28"/>
  <c r="AI61" i="28"/>
  <c r="AP61" i="28"/>
  <c r="AS61" i="28"/>
  <c r="AZ61" i="28"/>
  <c r="AJ61" i="28"/>
  <c r="AU61" i="28"/>
  <c r="BB61" i="28"/>
  <c r="AL61" i="28"/>
  <c r="AO61" i="28"/>
  <c r="AV61" i="28"/>
  <c r="AQ61" i="28"/>
  <c r="AX61" i="28"/>
  <c r="BA61" i="28"/>
  <c r="AK61" i="28"/>
  <c r="AR61" i="28"/>
  <c r="BC61" i="28"/>
  <c r="AM61" i="28"/>
  <c r="AT61" i="28"/>
  <c r="AI55" i="6"/>
  <c r="AI60" i="6" s="1"/>
  <c r="M49" i="6"/>
  <c r="M25" i="6"/>
  <c r="M19" i="6"/>
  <c r="M44" i="6"/>
  <c r="M42" i="6"/>
  <c r="M41" i="6"/>
  <c r="M24" i="6"/>
  <c r="M31" i="6"/>
  <c r="M27" i="6"/>
  <c r="M28" i="6"/>
  <c r="M39" i="6"/>
  <c r="M29" i="6"/>
  <c r="M33" i="6"/>
  <c r="M48" i="6"/>
  <c r="M37" i="6"/>
  <c r="M18" i="6"/>
  <c r="M45" i="6"/>
  <c r="M35" i="6"/>
  <c r="M47" i="6"/>
  <c r="M51" i="6"/>
  <c r="M30" i="6"/>
  <c r="M22" i="6"/>
  <c r="M46" i="6"/>
  <c r="M32" i="6"/>
  <c r="M43" i="6"/>
  <c r="M17" i="6"/>
  <c r="M38" i="6"/>
  <c r="M40" i="6"/>
  <c r="M26" i="6"/>
  <c r="M21" i="6"/>
  <c r="M36" i="6"/>
  <c r="M23" i="6"/>
  <c r="M34" i="6"/>
  <c r="M50" i="6"/>
  <c r="M20" i="6"/>
  <c r="O43" i="10"/>
  <c r="M47" i="10"/>
  <c r="V43" i="10"/>
  <c r="AA43" i="10"/>
  <c r="Y43" i="10"/>
  <c r="W43" i="10"/>
  <c r="U47" i="10"/>
  <c r="Z47" i="10"/>
  <c r="Q43" i="10"/>
  <c r="O47" i="10"/>
  <c r="T47" i="10"/>
  <c r="L43" i="10"/>
  <c r="N47" i="10"/>
  <c r="Z43" i="10"/>
  <c r="Z48" i="10" s="1"/>
  <c r="X43" i="10"/>
  <c r="X48" i="10" s="1"/>
  <c r="X47" i="10"/>
  <c r="V47" i="10"/>
  <c r="N43" i="10"/>
  <c r="N48" i="10" s="1"/>
  <c r="N9" i="11" s="1"/>
  <c r="P47" i="10"/>
  <c r="M43" i="10"/>
  <c r="S43" i="10"/>
  <c r="T43" i="10"/>
  <c r="T48" i="10" s="1"/>
  <c r="T8" i="11" s="1"/>
  <c r="R43" i="10"/>
  <c r="R48" i="10" s="1"/>
  <c r="R15" i="11" s="1"/>
  <c r="P43" i="10"/>
  <c r="U43" i="10"/>
  <c r="U48" i="10" s="1"/>
  <c r="M10" i="31"/>
  <c r="M15" i="31"/>
  <c r="L15" i="31"/>
  <c r="J15" i="31"/>
  <c r="H15" i="31"/>
  <c r="F15" i="31"/>
  <c r="D15" i="31"/>
  <c r="B15" i="31"/>
  <c r="I15" i="31"/>
  <c r="K15" i="31"/>
  <c r="C15" i="31"/>
  <c r="E15" i="31"/>
  <c r="G15" i="31"/>
  <c r="T10" i="11"/>
  <c r="T7" i="11"/>
  <c r="T6" i="11"/>
  <c r="T24" i="11"/>
  <c r="T25" i="11"/>
  <c r="T23" i="11"/>
  <c r="T36" i="11"/>
  <c r="T22" i="11"/>
  <c r="T35" i="11"/>
  <c r="T21" i="11"/>
  <c r="T33" i="11"/>
  <c r="T27" i="11"/>
  <c r="T19" i="11"/>
  <c r="T26" i="11"/>
  <c r="T16" i="11"/>
  <c r="T38" i="11"/>
  <c r="T28" i="11"/>
  <c r="T17" i="11"/>
  <c r="T29" i="11"/>
  <c r="S45" i="11"/>
  <c r="S45" i="13"/>
  <c r="S45" i="12"/>
  <c r="S45" i="10"/>
  <c r="L44" i="11"/>
  <c r="L48" i="11" s="1"/>
  <c r="L44" i="13"/>
  <c r="L44" i="12"/>
  <c r="L48" i="12" s="1"/>
  <c r="L44" i="10"/>
  <c r="S44" i="13"/>
  <c r="S44" i="12"/>
  <c r="S44" i="11"/>
  <c r="S44" i="10"/>
  <c r="N15" i="11"/>
  <c r="N10" i="11"/>
  <c r="N8" i="11"/>
  <c r="N7" i="11"/>
  <c r="N6" i="11"/>
  <c r="N14" i="11"/>
  <c r="N19" i="11"/>
  <c r="N13" i="11"/>
  <c r="N16" i="11"/>
  <c r="N17" i="11"/>
  <c r="N18" i="11"/>
  <c r="N11" i="11"/>
  <c r="N12" i="11"/>
  <c r="N26" i="11"/>
  <c r="N41" i="11"/>
  <c r="N30" i="11"/>
  <c r="N24" i="11"/>
  <c r="N38" i="11"/>
  <c r="N23" i="11"/>
  <c r="N36" i="11"/>
  <c r="N35" i="11"/>
  <c r="N22" i="11"/>
  <c r="N33" i="11"/>
  <c r="N20" i="11"/>
  <c r="N32" i="11"/>
  <c r="N34" i="11"/>
  <c r="N29" i="11"/>
  <c r="N21" i="11"/>
  <c r="R10" i="11"/>
  <c r="R9" i="11"/>
  <c r="R7" i="11"/>
  <c r="R6" i="11"/>
  <c r="R5" i="11"/>
  <c r="R28" i="11"/>
  <c r="R20" i="11"/>
  <c r="R14" i="11"/>
  <c r="R40" i="11"/>
  <c r="R27" i="11"/>
  <c r="R39" i="11"/>
  <c r="R13" i="11"/>
  <c r="R38" i="11"/>
  <c r="R12" i="11"/>
  <c r="R33" i="11"/>
  <c r="R23" i="11"/>
  <c r="R24" i="11"/>
  <c r="R37" i="11"/>
  <c r="R32" i="11"/>
  <c r="R34" i="11"/>
  <c r="R35" i="11"/>
  <c r="R11" i="11"/>
  <c r="R30" i="11"/>
  <c r="R21" i="11"/>
  <c r="R19" i="11"/>
  <c r="R25" i="11"/>
  <c r="R31" i="11"/>
  <c r="Z15" i="11"/>
  <c r="Z10" i="11"/>
  <c r="Z9" i="11"/>
  <c r="Z8" i="11"/>
  <c r="Z7" i="11"/>
  <c r="Z6" i="11"/>
  <c r="Z5" i="11"/>
  <c r="Z37" i="11"/>
  <c r="Z41" i="11"/>
  <c r="Z27" i="11"/>
  <c r="Z36" i="11"/>
  <c r="Z39" i="11"/>
  <c r="Z13" i="11"/>
  <c r="Z26" i="11"/>
  <c r="Z38" i="11"/>
  <c r="Z21" i="11"/>
  <c r="Z11" i="11"/>
  <c r="Z12" i="11"/>
  <c r="Z20" i="11"/>
  <c r="Z33" i="11"/>
  <c r="Z32" i="11"/>
  <c r="Z22" i="11"/>
  <c r="Z23" i="11"/>
  <c r="Z17" i="11"/>
  <c r="Z30" i="11"/>
  <c r="Z31" i="11"/>
  <c r="Z16" i="11"/>
  <c r="Z29" i="11"/>
  <c r="Z19" i="11"/>
  <c r="Z14" i="11"/>
  <c r="Z25" i="11"/>
  <c r="Z18" i="11"/>
  <c r="Z34" i="11"/>
  <c r="Z24" i="11"/>
  <c r="Z28" i="11"/>
  <c r="Z40" i="11"/>
  <c r="Z35" i="11"/>
  <c r="D35" i="5"/>
  <c r="D4" i="5"/>
  <c r="N56" i="6" s="1"/>
  <c r="M6" i="31" l="1"/>
  <c r="R29" i="11"/>
  <c r="R17" i="11"/>
  <c r="R36" i="11"/>
  <c r="R16" i="11"/>
  <c r="R22" i="11"/>
  <c r="R26" i="11"/>
  <c r="R18" i="11"/>
  <c r="R41" i="11"/>
  <c r="R8" i="11"/>
  <c r="N27" i="11"/>
  <c r="N28" i="11"/>
  <c r="N37" i="11"/>
  <c r="N25" i="11"/>
  <c r="N40" i="11"/>
  <c r="N31" i="11"/>
  <c r="N39" i="11"/>
  <c r="N5" i="11"/>
  <c r="T30" i="11"/>
  <c r="T18" i="11"/>
  <c r="T31" i="11"/>
  <c r="T14" i="11"/>
  <c r="T34" i="11"/>
  <c r="T37" i="11"/>
  <c r="T40" i="11"/>
  <c r="T5" i="11"/>
  <c r="T9" i="11"/>
  <c r="P48" i="10"/>
  <c r="M48" i="10"/>
  <c r="Z47" i="12"/>
  <c r="Z47" i="11"/>
  <c r="Z37" i="8"/>
  <c r="Y37" i="28" s="1"/>
  <c r="Y89" i="28" s="1"/>
  <c r="Z46" i="8"/>
  <c r="Y46" i="28" s="1"/>
  <c r="Y98" i="28" s="1"/>
  <c r="Z43" i="8"/>
  <c r="Y43" i="28" s="1"/>
  <c r="Y95" i="28" s="1"/>
  <c r="Z47" i="8"/>
  <c r="Y47" i="28" s="1"/>
  <c r="Y99" i="28" s="1"/>
  <c r="Z16" i="8"/>
  <c r="Y16" i="28" s="1"/>
  <c r="Y68" i="28" s="1"/>
  <c r="Z20" i="8"/>
  <c r="Y20" i="28" s="1"/>
  <c r="Y72" i="28" s="1"/>
  <c r="Z26" i="8"/>
  <c r="Y26" i="28" s="1"/>
  <c r="Y78" i="28" s="1"/>
  <c r="Z17" i="8"/>
  <c r="Y17" i="28" s="1"/>
  <c r="Y69" i="28" s="1"/>
  <c r="Z44" i="8"/>
  <c r="Y44" i="28" s="1"/>
  <c r="Y96" i="28" s="1"/>
  <c r="Z41" i="8"/>
  <c r="Y41" i="28" s="1"/>
  <c r="Y93" i="28" s="1"/>
  <c r="Z31" i="8"/>
  <c r="Y31" i="28" s="1"/>
  <c r="Y83" i="28" s="1"/>
  <c r="Z24" i="8"/>
  <c r="Y24" i="28" s="1"/>
  <c r="Y76" i="28" s="1"/>
  <c r="Z8" i="8"/>
  <c r="Y8" i="28" s="1"/>
  <c r="Y60" i="28" s="1"/>
  <c r="Z50" i="8"/>
  <c r="Y50" i="28" s="1"/>
  <c r="Y102" i="28" s="1"/>
  <c r="Z42" i="8"/>
  <c r="Y42" i="28" s="1"/>
  <c r="Y94" i="28" s="1"/>
  <c r="Z22" i="8"/>
  <c r="Y22" i="28" s="1"/>
  <c r="Y74" i="28" s="1"/>
  <c r="Z11" i="8"/>
  <c r="Y11" i="28" s="1"/>
  <c r="Y63" i="28" s="1"/>
  <c r="Z15" i="8"/>
  <c r="Y15" i="28" s="1"/>
  <c r="Y67" i="28" s="1"/>
  <c r="Z21" i="8"/>
  <c r="Y21" i="28" s="1"/>
  <c r="Y73" i="28" s="1"/>
  <c r="Z38" i="8"/>
  <c r="Y38" i="28" s="1"/>
  <c r="Y90" i="28" s="1"/>
  <c r="Z51" i="8"/>
  <c r="Y51" i="28" s="1"/>
  <c r="Y103" i="28" s="1"/>
  <c r="Z29" i="8"/>
  <c r="Y29" i="28" s="1"/>
  <c r="Y81" i="28" s="1"/>
  <c r="Z45" i="8"/>
  <c r="Y45" i="28" s="1"/>
  <c r="Y97" i="28" s="1"/>
  <c r="Z14" i="8"/>
  <c r="Y14" i="28" s="1"/>
  <c r="Y66" i="28" s="1"/>
  <c r="Z6" i="8"/>
  <c r="Y6" i="28" s="1"/>
  <c r="Y58" i="28" s="1"/>
  <c r="Z28" i="8"/>
  <c r="Y28" i="28" s="1"/>
  <c r="Y80" i="28" s="1"/>
  <c r="Z36" i="8"/>
  <c r="Y36" i="28" s="1"/>
  <c r="Y88" i="28" s="1"/>
  <c r="Z34" i="8"/>
  <c r="Y34" i="28" s="1"/>
  <c r="Y86" i="28" s="1"/>
  <c r="Z7" i="8"/>
  <c r="Y7" i="28" s="1"/>
  <c r="Y59" i="28" s="1"/>
  <c r="Z13" i="8"/>
  <c r="Y13" i="28" s="1"/>
  <c r="Y65" i="28" s="1"/>
  <c r="Z25" i="8"/>
  <c r="Y25" i="28" s="1"/>
  <c r="Y77" i="28" s="1"/>
  <c r="Z49" i="8"/>
  <c r="Y49" i="28" s="1"/>
  <c r="Y101" i="28" s="1"/>
  <c r="Z39" i="8"/>
  <c r="Y39" i="28" s="1"/>
  <c r="Y91" i="28" s="1"/>
  <c r="Z48" i="8"/>
  <c r="Y48" i="28" s="1"/>
  <c r="Y100" i="28" s="1"/>
  <c r="Z40" i="8"/>
  <c r="Y40" i="28" s="1"/>
  <c r="Y92" i="28" s="1"/>
  <c r="Z12" i="8"/>
  <c r="Y12" i="28" s="1"/>
  <c r="Y64" i="28" s="1"/>
  <c r="Z23" i="8"/>
  <c r="Y23" i="28" s="1"/>
  <c r="Y75" i="28" s="1"/>
  <c r="Z18" i="8"/>
  <c r="Y18" i="28" s="1"/>
  <c r="Y70" i="28" s="1"/>
  <c r="Z35" i="8"/>
  <c r="Y35" i="28" s="1"/>
  <c r="Y87" i="28" s="1"/>
  <c r="Z33" i="8"/>
  <c r="Y33" i="28" s="1"/>
  <c r="Y85" i="28" s="1"/>
  <c r="Z5" i="8"/>
  <c r="Z9" i="8"/>
  <c r="Y9" i="28" s="1"/>
  <c r="Y61" i="28" s="1"/>
  <c r="Z30" i="8"/>
  <c r="Y30" i="28" s="1"/>
  <c r="Y82" i="28" s="1"/>
  <c r="Z10" i="8"/>
  <c r="Y10" i="28" s="1"/>
  <c r="Y62" i="28" s="1"/>
  <c r="Z27" i="8"/>
  <c r="Y27" i="28" s="1"/>
  <c r="Y79" i="28" s="1"/>
  <c r="Z32" i="8"/>
  <c r="Y32" i="28" s="1"/>
  <c r="Y84" i="28" s="1"/>
  <c r="Z19" i="8"/>
  <c r="Y19" i="28" s="1"/>
  <c r="Y71" i="28" s="1"/>
  <c r="Q8" i="30"/>
  <c r="Q10" i="30"/>
  <c r="Q6" i="30"/>
  <c r="N8" i="30"/>
  <c r="N6" i="30"/>
  <c r="N10" i="30"/>
  <c r="G8" i="30"/>
  <c r="G10" i="30"/>
  <c r="G6" i="30"/>
  <c r="V8" i="30"/>
  <c r="V6" i="30"/>
  <c r="V10" i="30"/>
  <c r="D8" i="30"/>
  <c r="D6" i="30"/>
  <c r="D10" i="30"/>
  <c r="Q21" i="7"/>
  <c r="Q9" i="7"/>
  <c r="Q24" i="7"/>
  <c r="Q10" i="7"/>
  <c r="Q11" i="7"/>
  <c r="Q41" i="7"/>
  <c r="Q49" i="7"/>
  <c r="Q32" i="7"/>
  <c r="Q12" i="7"/>
  <c r="Q39" i="7"/>
  <c r="Q46" i="7"/>
  <c r="Q51" i="7"/>
  <c r="Q15" i="7"/>
  <c r="Q5" i="7"/>
  <c r="Q22" i="7"/>
  <c r="Q8" i="7"/>
  <c r="Q45" i="7"/>
  <c r="Q7" i="7"/>
  <c r="Q20" i="7"/>
  <c r="Q44" i="7"/>
  <c r="Q43" i="7"/>
  <c r="Q31" i="7"/>
  <c r="Q50" i="7"/>
  <c r="Q27" i="7"/>
  <c r="Q29" i="7"/>
  <c r="Q28" i="7"/>
  <c r="Q16" i="7"/>
  <c r="Q6" i="7"/>
  <c r="Q35" i="7"/>
  <c r="Q47" i="7"/>
  <c r="Q48" i="7"/>
  <c r="Q19" i="7"/>
  <c r="Q17" i="7"/>
  <c r="Q34" i="7"/>
  <c r="Q38" i="7"/>
  <c r="Q23" i="7"/>
  <c r="Q13" i="7"/>
  <c r="Q26" i="7"/>
  <c r="Q14" i="7"/>
  <c r="Q30" i="7"/>
  <c r="Q37" i="7"/>
  <c r="Q36" i="7"/>
  <c r="Q25" i="7"/>
  <c r="Q42" i="7"/>
  <c r="Q18" i="7"/>
  <c r="Q33" i="7"/>
  <c r="Q40" i="7"/>
  <c r="AH15" i="7"/>
  <c r="AH7" i="7"/>
  <c r="AH16" i="7"/>
  <c r="AH8" i="7"/>
  <c r="AH43" i="7"/>
  <c r="AH33" i="7"/>
  <c r="AH24" i="7"/>
  <c r="AH35" i="7"/>
  <c r="AH47" i="7"/>
  <c r="AH39" i="7"/>
  <c r="AH30" i="7"/>
  <c r="AH25" i="7"/>
  <c r="AH13" i="7"/>
  <c r="AH5" i="7"/>
  <c r="AH14" i="7"/>
  <c r="AH6" i="7"/>
  <c r="AH26" i="7"/>
  <c r="AH31" i="7"/>
  <c r="AH40" i="7"/>
  <c r="AH36" i="7"/>
  <c r="AH48" i="7"/>
  <c r="AH49" i="7"/>
  <c r="AH34" i="7"/>
  <c r="AH19" i="7"/>
  <c r="AH11" i="7"/>
  <c r="AH20" i="7"/>
  <c r="AH12" i="7"/>
  <c r="AH50" i="7"/>
  <c r="AH27" i="7"/>
  <c r="AH45" i="7"/>
  <c r="AH42" i="7"/>
  <c r="AH22" i="7"/>
  <c r="AH37" i="7"/>
  <c r="AH51" i="7"/>
  <c r="AH46" i="7"/>
  <c r="AH17" i="7"/>
  <c r="AH9" i="7"/>
  <c r="AH18" i="7"/>
  <c r="AH10" i="7"/>
  <c r="AH29" i="7"/>
  <c r="AH28" i="7"/>
  <c r="AH41" i="7"/>
  <c r="AH23" i="7"/>
  <c r="AH44" i="7"/>
  <c r="AH38" i="7"/>
  <c r="AH32" i="7"/>
  <c r="AH21" i="7"/>
  <c r="R32" i="7"/>
  <c r="R21" i="7"/>
  <c r="R21" i="9" s="1"/>
  <c r="R29" i="7"/>
  <c r="R29" i="9" s="1"/>
  <c r="R24" i="7"/>
  <c r="R24" i="9" s="1"/>
  <c r="R16" i="7"/>
  <c r="R8" i="7"/>
  <c r="R40" i="7"/>
  <c r="R49" i="7"/>
  <c r="R34" i="7"/>
  <c r="R27" i="7"/>
  <c r="R27" i="9" s="1"/>
  <c r="R19" i="7"/>
  <c r="R13" i="7"/>
  <c r="R5" i="7"/>
  <c r="R22" i="7"/>
  <c r="R22" i="9" s="1"/>
  <c r="R14" i="7"/>
  <c r="R6" i="7"/>
  <c r="R42" i="7"/>
  <c r="R39" i="7"/>
  <c r="R38" i="7"/>
  <c r="R44" i="7"/>
  <c r="R45" i="7"/>
  <c r="R25" i="7"/>
  <c r="R17" i="7"/>
  <c r="R11" i="7"/>
  <c r="R28" i="7"/>
  <c r="R28" i="9" s="1"/>
  <c r="R20" i="7"/>
  <c r="R12" i="7"/>
  <c r="R48" i="7"/>
  <c r="R35" i="7"/>
  <c r="R43" i="7"/>
  <c r="R46" i="7"/>
  <c r="R50" i="7"/>
  <c r="R41" i="7"/>
  <c r="R23" i="7"/>
  <c r="R23" i="9" s="1"/>
  <c r="R15" i="7"/>
  <c r="R9" i="7"/>
  <c r="R26" i="7"/>
  <c r="R26" i="9" s="1"/>
  <c r="R18" i="7"/>
  <c r="R10" i="7"/>
  <c r="R36" i="7"/>
  <c r="R47" i="7"/>
  <c r="R30" i="7"/>
  <c r="R31" i="7"/>
  <c r="R33" i="7"/>
  <c r="R7" i="7"/>
  <c r="R37" i="7"/>
  <c r="R51" i="7"/>
  <c r="X25" i="9"/>
  <c r="X28" i="9"/>
  <c r="X46" i="9"/>
  <c r="X27" i="9"/>
  <c r="X33" i="9"/>
  <c r="X48" i="9"/>
  <c r="X30" i="9"/>
  <c r="X35" i="9"/>
  <c r="X50" i="9"/>
  <c r="X51" i="9"/>
  <c r="X37" i="9"/>
  <c r="P47" i="11"/>
  <c r="P47" i="12"/>
  <c r="T47" i="11"/>
  <c r="T47" i="12"/>
  <c r="U47" i="11"/>
  <c r="U47" i="12"/>
  <c r="V48" i="10"/>
  <c r="M55" i="6"/>
  <c r="M60" i="6" s="1"/>
  <c r="M26" i="7" s="1"/>
  <c r="AA51" i="8"/>
  <c r="Z51" i="28" s="1"/>
  <c r="Z103" i="28" s="1"/>
  <c r="AA36" i="8"/>
  <c r="Z36" i="28" s="1"/>
  <c r="Z88" i="28" s="1"/>
  <c r="AA38" i="8"/>
  <c r="Z38" i="28" s="1"/>
  <c r="Z90" i="28" s="1"/>
  <c r="AA41" i="8"/>
  <c r="Z41" i="28" s="1"/>
  <c r="Z93" i="28" s="1"/>
  <c r="AA8" i="8"/>
  <c r="Z8" i="28" s="1"/>
  <c r="Z60" i="28" s="1"/>
  <c r="AA16" i="8"/>
  <c r="Z16" i="28" s="1"/>
  <c r="Z68" i="28" s="1"/>
  <c r="AA45" i="8"/>
  <c r="Z45" i="28" s="1"/>
  <c r="Z97" i="28" s="1"/>
  <c r="AA22" i="8"/>
  <c r="Z22" i="28" s="1"/>
  <c r="Z74" i="28" s="1"/>
  <c r="AA11" i="8"/>
  <c r="Z11" i="28" s="1"/>
  <c r="Z63" i="28" s="1"/>
  <c r="AA15" i="8"/>
  <c r="Z15" i="28" s="1"/>
  <c r="Z67" i="28" s="1"/>
  <c r="AA17" i="8"/>
  <c r="Z17" i="28" s="1"/>
  <c r="Z69" i="28" s="1"/>
  <c r="AA21" i="8"/>
  <c r="Z21" i="28" s="1"/>
  <c r="Z73" i="28" s="1"/>
  <c r="AA39" i="8"/>
  <c r="Z39" i="28" s="1"/>
  <c r="Z91" i="28" s="1"/>
  <c r="AA24" i="8"/>
  <c r="Z24" i="28" s="1"/>
  <c r="Z76" i="28" s="1"/>
  <c r="AA26" i="8"/>
  <c r="Z26" i="28" s="1"/>
  <c r="Z78" i="28" s="1"/>
  <c r="AA14" i="8"/>
  <c r="Z14" i="28" s="1"/>
  <c r="Z66" i="28" s="1"/>
  <c r="AA6" i="8"/>
  <c r="Z6" i="28" s="1"/>
  <c r="Z58" i="28" s="1"/>
  <c r="AA28" i="8"/>
  <c r="Z28" i="28" s="1"/>
  <c r="Z80" i="28" s="1"/>
  <c r="AA42" i="8"/>
  <c r="Z42" i="28" s="1"/>
  <c r="Z94" i="28" s="1"/>
  <c r="AA49" i="8"/>
  <c r="Z49" i="28" s="1"/>
  <c r="Z101" i="28" s="1"/>
  <c r="AA7" i="8"/>
  <c r="Z7" i="28" s="1"/>
  <c r="Z59" i="28" s="1"/>
  <c r="AA13" i="8"/>
  <c r="Z13" i="28" s="1"/>
  <c r="Z65" i="28" s="1"/>
  <c r="AA25" i="8"/>
  <c r="Z25" i="28" s="1"/>
  <c r="Z77" i="28" s="1"/>
  <c r="AA44" i="8"/>
  <c r="Z44" i="28" s="1"/>
  <c r="Z96" i="28" s="1"/>
  <c r="AA46" i="8"/>
  <c r="Z46" i="28" s="1"/>
  <c r="Z98" i="28" s="1"/>
  <c r="AA43" i="8"/>
  <c r="Z43" i="28" s="1"/>
  <c r="Z95" i="28" s="1"/>
  <c r="AA40" i="8"/>
  <c r="Z40" i="28" s="1"/>
  <c r="Z92" i="28" s="1"/>
  <c r="AA12" i="8"/>
  <c r="Z12" i="28" s="1"/>
  <c r="Z64" i="28" s="1"/>
  <c r="AA29" i="8"/>
  <c r="Z29" i="28" s="1"/>
  <c r="Z81" i="28" s="1"/>
  <c r="AA18" i="8"/>
  <c r="Z18" i="28" s="1"/>
  <c r="Z70" i="28" s="1"/>
  <c r="AA35" i="8"/>
  <c r="Z35" i="28" s="1"/>
  <c r="Z87" i="28" s="1"/>
  <c r="AA34" i="8"/>
  <c r="Z34" i="28" s="1"/>
  <c r="Z86" i="28" s="1"/>
  <c r="AA5" i="8"/>
  <c r="AA9" i="8"/>
  <c r="Z9" i="28" s="1"/>
  <c r="Z61" i="28" s="1"/>
  <c r="AA19" i="8"/>
  <c r="Z19" i="28" s="1"/>
  <c r="Z71" i="28" s="1"/>
  <c r="AA32" i="8"/>
  <c r="Z32" i="28" s="1"/>
  <c r="Z84" i="28" s="1"/>
  <c r="AA48" i="8"/>
  <c r="Z48" i="28" s="1"/>
  <c r="Z100" i="28" s="1"/>
  <c r="AA50" i="8"/>
  <c r="Z50" i="28" s="1"/>
  <c r="Z102" i="28" s="1"/>
  <c r="AA47" i="8"/>
  <c r="Z47" i="28" s="1"/>
  <c r="Z99" i="28" s="1"/>
  <c r="AA10" i="8"/>
  <c r="Z10" i="28" s="1"/>
  <c r="Z62" i="28" s="1"/>
  <c r="AA23" i="8"/>
  <c r="Z23" i="28" s="1"/>
  <c r="Z75" i="28" s="1"/>
  <c r="AA20" i="8"/>
  <c r="Z20" i="28" s="1"/>
  <c r="Z72" i="28" s="1"/>
  <c r="AA27" i="8"/>
  <c r="Z27" i="28" s="1"/>
  <c r="Z79" i="28" s="1"/>
  <c r="AA33" i="8"/>
  <c r="Z33" i="28" s="1"/>
  <c r="Z85" i="28" s="1"/>
  <c r="AA37" i="8"/>
  <c r="Z37" i="28" s="1"/>
  <c r="Z89" i="28" s="1"/>
  <c r="AA31" i="8"/>
  <c r="Z31" i="28" s="1"/>
  <c r="Z83" i="28" s="1"/>
  <c r="AA30" i="8"/>
  <c r="Z30" i="28" s="1"/>
  <c r="Z82" i="28" s="1"/>
  <c r="O8" i="30"/>
  <c r="O10" i="30"/>
  <c r="O6" i="30"/>
  <c r="E8" i="30"/>
  <c r="E10" i="30"/>
  <c r="E6" i="30"/>
  <c r="L8" i="30"/>
  <c r="L10" i="30"/>
  <c r="L6" i="30"/>
  <c r="B8" i="30"/>
  <c r="B10" i="30"/>
  <c r="B6" i="30"/>
  <c r="W8" i="30"/>
  <c r="W10" i="30"/>
  <c r="W6" i="30"/>
  <c r="M8" i="30"/>
  <c r="M10" i="30"/>
  <c r="M6" i="30"/>
  <c r="T8" i="30"/>
  <c r="T10" i="30"/>
  <c r="T6" i="30"/>
  <c r="S11" i="7"/>
  <c r="S12" i="7"/>
  <c r="S45" i="7"/>
  <c r="S30" i="7"/>
  <c r="S38" i="7"/>
  <c r="S50" i="7"/>
  <c r="S9" i="7"/>
  <c r="S18" i="7"/>
  <c r="S10" i="7"/>
  <c r="S21" i="7"/>
  <c r="S17" i="7"/>
  <c r="S35" i="7"/>
  <c r="S34" i="7"/>
  <c r="S33" i="7"/>
  <c r="S49" i="7"/>
  <c r="S22" i="7"/>
  <c r="S26" i="7"/>
  <c r="S39" i="7"/>
  <c r="S7" i="7"/>
  <c r="S16" i="7"/>
  <c r="S8" i="7"/>
  <c r="S23" i="7"/>
  <c r="S27" i="7"/>
  <c r="S29" i="7"/>
  <c r="S36" i="7"/>
  <c r="S48" i="7"/>
  <c r="S28" i="7"/>
  <c r="S47" i="7"/>
  <c r="S51" i="7"/>
  <c r="S13" i="7"/>
  <c r="S5" i="7"/>
  <c r="S14" i="7"/>
  <c r="S6" i="7"/>
  <c r="S25" i="7"/>
  <c r="S15" i="7"/>
  <c r="S31" i="7"/>
  <c r="S42" i="7"/>
  <c r="S43" i="7"/>
  <c r="S24" i="7"/>
  <c r="S32" i="7"/>
  <c r="S44" i="7"/>
  <c r="S20" i="7"/>
  <c r="S19" i="7"/>
  <c r="S37" i="7"/>
  <c r="S41" i="7"/>
  <c r="S40" i="7"/>
  <c r="S46" i="7"/>
  <c r="L33" i="7"/>
  <c r="L32" i="7"/>
  <c r="L40" i="7"/>
  <c r="L29" i="7"/>
  <c r="L13" i="7"/>
  <c r="L37" i="7"/>
  <c r="L36" i="7"/>
  <c r="L31" i="7"/>
  <c r="L10" i="7"/>
  <c r="L23" i="7"/>
  <c r="L9" i="7"/>
  <c r="L26" i="7"/>
  <c r="L18" i="7"/>
  <c r="L12" i="7"/>
  <c r="L7" i="7"/>
  <c r="L46" i="7"/>
  <c r="L11" i="7"/>
  <c r="L47" i="7"/>
  <c r="L42" i="7"/>
  <c r="L8" i="7"/>
  <c r="L21" i="7"/>
  <c r="L5" i="7"/>
  <c r="L14" i="7"/>
  <c r="L20" i="7"/>
  <c r="L19" i="7"/>
  <c r="L39" i="7"/>
  <c r="L45" i="7"/>
  <c r="L38" i="7"/>
  <c r="L17" i="7"/>
  <c r="L49" i="7"/>
  <c r="L6" i="7"/>
  <c r="L15" i="7"/>
  <c r="L44" i="7"/>
  <c r="L28" i="7"/>
  <c r="L22" i="7"/>
  <c r="L48" i="7"/>
  <c r="L25" i="7"/>
  <c r="L41" i="7"/>
  <c r="L35" i="7"/>
  <c r="L51" i="7"/>
  <c r="L27" i="7"/>
  <c r="L24" i="7"/>
  <c r="L16" i="7"/>
  <c r="L43" i="7"/>
  <c r="L30" i="7"/>
  <c r="L34" i="7"/>
  <c r="L50" i="7"/>
  <c r="O25" i="7"/>
  <c r="O13" i="7"/>
  <c r="O5" i="7"/>
  <c r="O14" i="7"/>
  <c r="O10" i="7"/>
  <c r="O38" i="7"/>
  <c r="O33" i="7"/>
  <c r="O43" i="7"/>
  <c r="O22" i="7"/>
  <c r="O46" i="7"/>
  <c r="O44" i="7"/>
  <c r="O51" i="7"/>
  <c r="O19" i="7"/>
  <c r="O11" i="7"/>
  <c r="O20" i="7"/>
  <c r="O12" i="7"/>
  <c r="O36" i="7"/>
  <c r="O32" i="7"/>
  <c r="O31" i="7"/>
  <c r="O45" i="7"/>
  <c r="O29" i="7"/>
  <c r="O49" i="7"/>
  <c r="O34" i="7"/>
  <c r="O27" i="7"/>
  <c r="O17" i="7"/>
  <c r="O9" i="7"/>
  <c r="O18" i="7"/>
  <c r="O8" i="7"/>
  <c r="O41" i="7"/>
  <c r="O48" i="7"/>
  <c r="O21" i="7"/>
  <c r="O40" i="7"/>
  <c r="O42" i="7"/>
  <c r="O50" i="7"/>
  <c r="O24" i="7"/>
  <c r="O39" i="7"/>
  <c r="O15" i="7"/>
  <c r="O7" i="7"/>
  <c r="O16" i="7"/>
  <c r="O6" i="7"/>
  <c r="O37" i="7"/>
  <c r="O23" i="7"/>
  <c r="O28" i="7"/>
  <c r="O47" i="7"/>
  <c r="O35" i="7"/>
  <c r="O30" i="7"/>
  <c r="O26" i="7"/>
  <c r="W44" i="7"/>
  <c r="W51" i="7"/>
  <c r="W43" i="7"/>
  <c r="W28" i="7"/>
  <c r="W20" i="7"/>
  <c r="W31" i="7"/>
  <c r="W8" i="7"/>
  <c r="W27" i="7"/>
  <c r="W19" i="7"/>
  <c r="W11" i="7"/>
  <c r="W37" i="7"/>
  <c r="W50" i="7"/>
  <c r="W42" i="7"/>
  <c r="W49" i="7"/>
  <c r="W41" i="7"/>
  <c r="W26" i="7"/>
  <c r="W18" i="7"/>
  <c r="W12" i="7"/>
  <c r="W6" i="7"/>
  <c r="W25" i="7"/>
  <c r="W17" i="7"/>
  <c r="W9" i="7"/>
  <c r="W29" i="7"/>
  <c r="W48" i="7"/>
  <c r="W40" i="7"/>
  <c r="W47" i="7"/>
  <c r="W39" i="7"/>
  <c r="W24" i="7"/>
  <c r="W16" i="7"/>
  <c r="W10" i="7"/>
  <c r="W30" i="7"/>
  <c r="W23" i="7"/>
  <c r="W15" i="7"/>
  <c r="W33" i="7"/>
  <c r="W5" i="7"/>
  <c r="W46" i="7"/>
  <c r="W38" i="7"/>
  <c r="W45" i="7"/>
  <c r="W34" i="7"/>
  <c r="W22" i="7"/>
  <c r="W14" i="7"/>
  <c r="W35" i="7"/>
  <c r="W36" i="7"/>
  <c r="W21" i="7"/>
  <c r="W13" i="7"/>
  <c r="W32" i="7"/>
  <c r="W7" i="7"/>
  <c r="X5" i="9"/>
  <c r="X6" i="9"/>
  <c r="X39" i="9"/>
  <c r="X7" i="9"/>
  <c r="X8" i="9"/>
  <c r="X41" i="9"/>
  <c r="X29" i="9"/>
  <c r="X10" i="9"/>
  <c r="X43" i="9"/>
  <c r="X32" i="9"/>
  <c r="X12" i="9"/>
  <c r="X45" i="9"/>
  <c r="O47" i="11"/>
  <c r="O47" i="12"/>
  <c r="M47" i="11"/>
  <c r="M47" i="12"/>
  <c r="J8" i="30"/>
  <c r="J10" i="30"/>
  <c r="J6" i="30"/>
  <c r="U8" i="30"/>
  <c r="U10" i="30"/>
  <c r="U6" i="30"/>
  <c r="C8" i="30"/>
  <c r="C10" i="30"/>
  <c r="C6" i="30"/>
  <c r="R8" i="30"/>
  <c r="R10" i="30"/>
  <c r="R6" i="30"/>
  <c r="K8" i="30"/>
  <c r="K10" i="30"/>
  <c r="K6" i="30"/>
  <c r="AC17" i="7"/>
  <c r="AC9" i="7"/>
  <c r="AC20" i="7"/>
  <c r="AC6" i="7"/>
  <c r="AC12" i="7"/>
  <c r="AC21" i="7"/>
  <c r="AC43" i="7"/>
  <c r="AC42" i="7"/>
  <c r="AC26" i="7"/>
  <c r="AC45" i="7"/>
  <c r="AC28" i="7"/>
  <c r="AC38" i="7"/>
  <c r="AC15" i="7"/>
  <c r="AC7" i="7"/>
  <c r="AC18" i="7"/>
  <c r="AC10" i="7"/>
  <c r="AC27" i="7"/>
  <c r="AC51" i="7"/>
  <c r="AC46" i="7"/>
  <c r="AC49" i="7"/>
  <c r="AC24" i="7"/>
  <c r="AC50" i="7"/>
  <c r="AC22" i="7"/>
  <c r="AC25" i="7"/>
  <c r="AC13" i="7"/>
  <c r="AC5" i="7"/>
  <c r="AC16" i="7"/>
  <c r="AC8" i="7"/>
  <c r="AC32" i="7"/>
  <c r="AC39" i="7"/>
  <c r="AC48" i="7"/>
  <c r="AC37" i="7"/>
  <c r="AC41" i="7"/>
  <c r="AC23" i="7"/>
  <c r="AC35" i="7"/>
  <c r="AC19" i="7"/>
  <c r="AC11" i="7"/>
  <c r="AC34" i="7"/>
  <c r="AC14" i="7"/>
  <c r="AC31" i="7"/>
  <c r="AC33" i="7"/>
  <c r="AC47" i="7"/>
  <c r="AC29" i="7"/>
  <c r="AC30" i="7"/>
  <c r="AC44" i="7"/>
  <c r="AC36" i="7"/>
  <c r="AC40" i="7"/>
  <c r="X9" i="9"/>
  <c r="X31" i="9"/>
  <c r="X31" i="8"/>
  <c r="W31" i="28" s="1"/>
  <c r="W83" i="28" s="1"/>
  <c r="X47" i="9"/>
  <c r="X11" i="9"/>
  <c r="X53" i="7"/>
  <c r="X58" i="7" s="1"/>
  <c r="X28" i="8" s="1"/>
  <c r="W28" i="28" s="1"/>
  <c r="W80" i="28" s="1"/>
  <c r="X14" i="9"/>
  <c r="X49" i="9"/>
  <c r="X13" i="9"/>
  <c r="X13" i="8"/>
  <c r="W13" i="28" s="1"/>
  <c r="W65" i="28" s="1"/>
  <c r="X16" i="9"/>
  <c r="X16" i="8"/>
  <c r="W16" i="28" s="1"/>
  <c r="W68" i="28" s="1"/>
  <c r="X34" i="9"/>
  <c r="X15" i="9"/>
  <c r="X18" i="9"/>
  <c r="X18" i="8"/>
  <c r="W18" i="28" s="1"/>
  <c r="W70" i="28" s="1"/>
  <c r="X36" i="9"/>
  <c r="X36" i="8"/>
  <c r="W36" i="28" s="1"/>
  <c r="W88" i="28" s="1"/>
  <c r="T39" i="11"/>
  <c r="T11" i="11"/>
  <c r="T20" i="11"/>
  <c r="T32" i="11"/>
  <c r="T12" i="11"/>
  <c r="T13" i="11"/>
  <c r="T41" i="11"/>
  <c r="T15" i="11"/>
  <c r="U21" i="11"/>
  <c r="U9" i="11"/>
  <c r="U36" i="11"/>
  <c r="U31" i="11"/>
  <c r="U5" i="11"/>
  <c r="U20" i="11"/>
  <c r="U32" i="11"/>
  <c r="U37" i="11"/>
  <c r="U35" i="11"/>
  <c r="U16" i="11"/>
  <c r="U14" i="11"/>
  <c r="U8" i="11"/>
  <c r="U15" i="11"/>
  <c r="U33" i="11"/>
  <c r="U22" i="11"/>
  <c r="U18" i="11"/>
  <c r="U17" i="11"/>
  <c r="U29" i="11"/>
  <c r="U40" i="11"/>
  <c r="U11" i="11"/>
  <c r="U7" i="11"/>
  <c r="U10" i="11"/>
  <c r="U24" i="11"/>
  <c r="U23" i="11"/>
  <c r="U19" i="11"/>
  <c r="U30" i="11"/>
  <c r="U28" i="11"/>
  <c r="U39" i="11"/>
  <c r="U38" i="11"/>
  <c r="U26" i="11"/>
  <c r="U12" i="11"/>
  <c r="U27" i="11"/>
  <c r="U6" i="11"/>
  <c r="U25" i="11"/>
  <c r="U34" i="11"/>
  <c r="U41" i="11"/>
  <c r="U13" i="11"/>
  <c r="V47" i="12"/>
  <c r="V47" i="11"/>
  <c r="N47" i="11"/>
  <c r="N47" i="12"/>
  <c r="O48" i="10"/>
  <c r="AI35" i="7"/>
  <c r="AI21" i="7"/>
  <c r="AI29" i="7"/>
  <c r="AI22" i="7"/>
  <c r="AI30" i="7"/>
  <c r="AI47" i="7"/>
  <c r="AI34" i="7"/>
  <c r="AI17" i="7"/>
  <c r="AI5" i="7"/>
  <c r="AI12" i="7"/>
  <c r="AI41" i="7"/>
  <c r="AI33" i="7"/>
  <c r="AI36" i="7"/>
  <c r="AI27" i="7"/>
  <c r="AI19" i="7"/>
  <c r="AI11" i="7"/>
  <c r="AI7" i="7"/>
  <c r="AI28" i="7"/>
  <c r="AI20" i="7"/>
  <c r="AI49" i="7"/>
  <c r="AI6" i="7"/>
  <c r="AI42" i="7"/>
  <c r="AI26" i="7"/>
  <c r="AI45" i="7"/>
  <c r="AI37" i="7"/>
  <c r="AI40" i="7"/>
  <c r="AI32" i="7"/>
  <c r="AI23" i="7"/>
  <c r="AI15" i="7"/>
  <c r="AI44" i="7"/>
  <c r="AI48" i="7"/>
  <c r="AI24" i="7"/>
  <c r="AI16" i="7"/>
  <c r="AI10" i="7"/>
  <c r="AI46" i="7"/>
  <c r="AI43" i="7"/>
  <c r="AI38" i="7"/>
  <c r="AI51" i="7"/>
  <c r="AI13" i="7"/>
  <c r="AI31" i="7"/>
  <c r="AI14" i="7"/>
  <c r="AI8" i="7"/>
  <c r="AI39" i="7"/>
  <c r="AI25" i="7"/>
  <c r="AI9" i="7"/>
  <c r="AI18" i="7"/>
  <c r="AI50" i="7"/>
  <c r="H8" i="30"/>
  <c r="H10" i="30"/>
  <c r="H6" i="30"/>
  <c r="S8" i="30"/>
  <c r="S10" i="30"/>
  <c r="S6" i="30"/>
  <c r="I8" i="30"/>
  <c r="I10" i="30"/>
  <c r="I6" i="30"/>
  <c r="P8" i="30"/>
  <c r="P10" i="30"/>
  <c r="P6" i="30"/>
  <c r="F8" i="30"/>
  <c r="F6" i="30"/>
  <c r="F10" i="30"/>
  <c r="P27" i="7"/>
  <c r="P27" i="9" s="1"/>
  <c r="P19" i="7"/>
  <c r="P13" i="7"/>
  <c r="P5" i="7"/>
  <c r="P22" i="7"/>
  <c r="P22" i="9" s="1"/>
  <c r="P14" i="7"/>
  <c r="P30" i="7"/>
  <c r="P38" i="7"/>
  <c r="P33" i="7"/>
  <c r="P32" i="7"/>
  <c r="P40" i="7"/>
  <c r="P46" i="7"/>
  <c r="P35" i="7"/>
  <c r="P25" i="7"/>
  <c r="P17" i="7"/>
  <c r="P11" i="7"/>
  <c r="P28" i="7"/>
  <c r="P20" i="7"/>
  <c r="P12" i="7"/>
  <c r="P8" i="7"/>
  <c r="P50" i="7"/>
  <c r="P47" i="7"/>
  <c r="P45" i="7"/>
  <c r="P51" i="7"/>
  <c r="P41" i="7"/>
  <c r="P23" i="7"/>
  <c r="P23" i="9" s="1"/>
  <c r="P15" i="7"/>
  <c r="P9" i="7"/>
  <c r="P26" i="7"/>
  <c r="P26" i="9" s="1"/>
  <c r="P18" i="7"/>
  <c r="P10" i="7"/>
  <c r="P42" i="7"/>
  <c r="P36" i="7"/>
  <c r="P49" i="7"/>
  <c r="P37" i="7"/>
  <c r="P43" i="7"/>
  <c r="P21" i="7"/>
  <c r="P21" i="9" s="1"/>
  <c r="P29" i="7"/>
  <c r="P29" i="9" s="1"/>
  <c r="P7" i="7"/>
  <c r="P24" i="7"/>
  <c r="P24" i="9" s="1"/>
  <c r="P16" i="7"/>
  <c r="P6" i="7"/>
  <c r="P34" i="7"/>
  <c r="P48" i="7"/>
  <c r="P31" i="7"/>
  <c r="P39" i="7"/>
  <c r="P44" i="7"/>
  <c r="Y60" i="6"/>
  <c r="V56" i="6"/>
  <c r="V60" i="6"/>
  <c r="Y56" i="6"/>
  <c r="U35" i="7"/>
  <c r="U49" i="7"/>
  <c r="U46" i="7"/>
  <c r="U43" i="7"/>
  <c r="U26" i="7"/>
  <c r="U18" i="7"/>
  <c r="U12" i="7"/>
  <c r="U6" i="7"/>
  <c r="U36" i="7"/>
  <c r="U11" i="7"/>
  <c r="U15" i="7"/>
  <c r="U33" i="7"/>
  <c r="U32" i="7"/>
  <c r="U42" i="7"/>
  <c r="U39" i="7"/>
  <c r="U24" i="7"/>
  <c r="U16" i="7"/>
  <c r="U10" i="7"/>
  <c r="U40" i="7"/>
  <c r="U19" i="7"/>
  <c r="U29" i="7"/>
  <c r="U45" i="7"/>
  <c r="U41" i="7"/>
  <c r="U50" i="7"/>
  <c r="U7" i="7"/>
  <c r="U38" i="7"/>
  <c r="U31" i="7"/>
  <c r="U22" i="7"/>
  <c r="U14" i="7"/>
  <c r="U44" i="7"/>
  <c r="U48" i="7"/>
  <c r="U21" i="7"/>
  <c r="U9" i="7"/>
  <c r="U13" i="7"/>
  <c r="U37" i="7"/>
  <c r="U51" i="7"/>
  <c r="U5" i="7"/>
  <c r="U34" i="7"/>
  <c r="U28" i="7"/>
  <c r="U20" i="7"/>
  <c r="U47" i="7"/>
  <c r="U8" i="7"/>
  <c r="U30" i="7"/>
  <c r="U17" i="7"/>
  <c r="U25" i="7"/>
  <c r="U27" i="7"/>
  <c r="U23" i="7"/>
  <c r="X17" i="9"/>
  <c r="X17" i="8"/>
  <c r="W17" i="28" s="1"/>
  <c r="W69" i="28" s="1"/>
  <c r="X20" i="9"/>
  <c r="X20" i="8"/>
  <c r="W20" i="28" s="1"/>
  <c r="W72" i="28" s="1"/>
  <c r="W38" i="28"/>
  <c r="W90" i="28" s="1"/>
  <c r="X38" i="9"/>
  <c r="X38" i="8"/>
  <c r="X19" i="9"/>
  <c r="W19" i="28"/>
  <c r="W71" i="28" s="1"/>
  <c r="X19" i="8"/>
  <c r="X22" i="9"/>
  <c r="X22" i="8"/>
  <c r="W22" i="28" s="1"/>
  <c r="W74" i="28" s="1"/>
  <c r="X40" i="9"/>
  <c r="X40" i="8"/>
  <c r="W40" i="28" s="1"/>
  <c r="W92" i="28" s="1"/>
  <c r="W21" i="28"/>
  <c r="W73" i="28" s="1"/>
  <c r="X21" i="9"/>
  <c r="X21" i="8"/>
  <c r="X24" i="9"/>
  <c r="W24" i="28"/>
  <c r="W76" i="28" s="1"/>
  <c r="X24" i="8"/>
  <c r="X42" i="9"/>
  <c r="X42" i="8"/>
  <c r="W42" i="28" s="1"/>
  <c r="W94" i="28" s="1"/>
  <c r="X23" i="9"/>
  <c r="X23" i="8"/>
  <c r="W23" i="28" s="1"/>
  <c r="W75" i="28" s="1"/>
  <c r="W26" i="28"/>
  <c r="W78" i="28" s="1"/>
  <c r="X26" i="9"/>
  <c r="X26" i="8"/>
  <c r="X44" i="9"/>
  <c r="W44" i="28" s="1"/>
  <c r="W96" i="28" s="1"/>
  <c r="X44" i="8"/>
  <c r="K14" i="31"/>
  <c r="I14" i="31"/>
  <c r="G14" i="31"/>
  <c r="E14" i="31"/>
  <c r="C14" i="31"/>
  <c r="M14" i="31"/>
  <c r="L14" i="31"/>
  <c r="J14" i="31"/>
  <c r="H14" i="31"/>
  <c r="F14" i="31"/>
  <c r="D14" i="31"/>
  <c r="B14" i="31"/>
  <c r="R23" i="12"/>
  <c r="S23" i="12" s="1"/>
  <c r="S23" i="11"/>
  <c r="R23" i="13"/>
  <c r="S23" i="13" s="1"/>
  <c r="S31" i="11"/>
  <c r="R31" i="12"/>
  <c r="S31" i="12" s="1"/>
  <c r="R31" i="13"/>
  <c r="S31" i="13" s="1"/>
  <c r="S37" i="11"/>
  <c r="R37" i="12"/>
  <c r="S37" i="12" s="1"/>
  <c r="R37" i="13"/>
  <c r="S37" i="13" s="1"/>
  <c r="S40" i="11"/>
  <c r="R40" i="12"/>
  <c r="S40" i="12" s="1"/>
  <c r="R40" i="13"/>
  <c r="S40" i="13" s="1"/>
  <c r="D46" i="5"/>
  <c r="Q44" i="13"/>
  <c r="Q44" i="12"/>
  <c r="Q44" i="11"/>
  <c r="Q44" i="10"/>
  <c r="R20" i="12"/>
  <c r="S20" i="12" s="1"/>
  <c r="S20" i="11"/>
  <c r="R20" i="13"/>
  <c r="S20" i="13" s="1"/>
  <c r="AA40" i="11"/>
  <c r="Z40" i="12"/>
  <c r="AA40" i="12" s="1"/>
  <c r="Z40" i="13"/>
  <c r="AA40" i="13" s="1"/>
  <c r="AA17" i="11"/>
  <c r="Z17" i="12"/>
  <c r="AA17" i="12" s="1"/>
  <c r="Z17" i="13"/>
  <c r="AA17" i="13" s="1"/>
  <c r="AA39" i="11"/>
  <c r="Z39" i="12"/>
  <c r="AA39" i="12" s="1"/>
  <c r="Z39" i="13"/>
  <c r="AA39" i="13" s="1"/>
  <c r="S19" i="11"/>
  <c r="R19" i="12"/>
  <c r="S19" i="12" s="1"/>
  <c r="R19" i="13"/>
  <c r="S19" i="13" s="1"/>
  <c r="AA22" i="11"/>
  <c r="Z22" i="12"/>
  <c r="AA22" i="12" s="1"/>
  <c r="Z22" i="13"/>
  <c r="AA22" i="13" s="1"/>
  <c r="AA27" i="11"/>
  <c r="Z27" i="12"/>
  <c r="AA27" i="12" s="1"/>
  <c r="Z27" i="13"/>
  <c r="AA27" i="13" s="1"/>
  <c r="N20" i="12"/>
  <c r="N20" i="29" s="1"/>
  <c r="N62" i="29" s="1"/>
  <c r="N20" i="13"/>
  <c r="N41" i="12"/>
  <c r="N41" i="29" s="1"/>
  <c r="N83" i="29" s="1"/>
  <c r="N41" i="13"/>
  <c r="N14" i="12"/>
  <c r="N14" i="29" s="1"/>
  <c r="N56" i="29" s="1"/>
  <c r="N14" i="13"/>
  <c r="AA24" i="11"/>
  <c r="Z24" i="12"/>
  <c r="AA24" i="12" s="1"/>
  <c r="Z24" i="13"/>
  <c r="AA24" i="13" s="1"/>
  <c r="T30" i="12"/>
  <c r="T30" i="13"/>
  <c r="T14" i="12"/>
  <c r="T14" i="13"/>
  <c r="T40" i="12"/>
  <c r="T40" i="13"/>
  <c r="AA28" i="11"/>
  <c r="Z28" i="12"/>
  <c r="AA28" i="12" s="1"/>
  <c r="Z28" i="13"/>
  <c r="AA28" i="13" s="1"/>
  <c r="AA23" i="11"/>
  <c r="Z23" i="12"/>
  <c r="AA23" i="12" s="1"/>
  <c r="Z23" i="13"/>
  <c r="AA23" i="13" s="1"/>
  <c r="AA36" i="11"/>
  <c r="Z36" i="12"/>
  <c r="AA36" i="12" s="1"/>
  <c r="Z36" i="13"/>
  <c r="AA36" i="13" s="1"/>
  <c r="S25" i="11"/>
  <c r="R25" i="12"/>
  <c r="S25" i="12" s="1"/>
  <c r="R25" i="13"/>
  <c r="S25" i="13" s="1"/>
  <c r="R24" i="12"/>
  <c r="S24" i="12" s="1"/>
  <c r="S24" i="11"/>
  <c r="R24" i="13"/>
  <c r="S24" i="13" s="1"/>
  <c r="S14" i="11"/>
  <c r="R14" i="12"/>
  <c r="S14" i="12" s="1"/>
  <c r="R14" i="13"/>
  <c r="S14" i="13" s="1"/>
  <c r="N28" i="12"/>
  <c r="N28" i="13"/>
  <c r="N40" i="12"/>
  <c r="N40" i="13"/>
  <c r="N5" i="12"/>
  <c r="N43" i="11"/>
  <c r="N5" i="13"/>
  <c r="T28" i="12"/>
  <c r="R28" i="29" s="1"/>
  <c r="R70" i="29" s="1"/>
  <c r="T28" i="13"/>
  <c r="T33" i="12"/>
  <c r="R33" i="29" s="1"/>
  <c r="R75" i="29" s="1"/>
  <c r="T33" i="13"/>
  <c r="T25" i="12"/>
  <c r="R25" i="29" s="1"/>
  <c r="R67" i="29" s="1"/>
  <c r="T25" i="13"/>
  <c r="N33" i="12"/>
  <c r="N33" i="29" s="1"/>
  <c r="N75" i="29" s="1"/>
  <c r="N33" i="13"/>
  <c r="N26" i="12"/>
  <c r="N26" i="29" s="1"/>
  <c r="N68" i="29" s="1"/>
  <c r="N26" i="13"/>
  <c r="N6" i="12"/>
  <c r="N6" i="29" s="1"/>
  <c r="N48" i="29" s="1"/>
  <c r="N6" i="13"/>
  <c r="L47" i="10"/>
  <c r="L47" i="12" s="1"/>
  <c r="T38" i="12"/>
  <c r="R38" i="29" s="1"/>
  <c r="R80" i="29" s="1"/>
  <c r="T38" i="13"/>
  <c r="T21" i="12"/>
  <c r="R21" i="29" s="1"/>
  <c r="R63" i="29" s="1"/>
  <c r="T21" i="13"/>
  <c r="T24" i="12"/>
  <c r="R24" i="29" s="1"/>
  <c r="R66" i="29" s="1"/>
  <c r="T24" i="13"/>
  <c r="N54" i="8"/>
  <c r="N58" i="8" s="1"/>
  <c r="N54" i="9"/>
  <c r="N54" i="7"/>
  <c r="AA34" i="11"/>
  <c r="Z34" i="12"/>
  <c r="AA34" i="12" s="1"/>
  <c r="Z34" i="13"/>
  <c r="AA34" i="13" s="1"/>
  <c r="AA32" i="11"/>
  <c r="Z32" i="12"/>
  <c r="AA32" i="12" s="1"/>
  <c r="Z32" i="13"/>
  <c r="AA32" i="13" s="1"/>
  <c r="AA41" i="11"/>
  <c r="Z41" i="12"/>
  <c r="AA41" i="12" s="1"/>
  <c r="Z41" i="13"/>
  <c r="AA41" i="13" s="1"/>
  <c r="R17" i="12"/>
  <c r="S17" i="12" s="1"/>
  <c r="S17" i="11"/>
  <c r="R17" i="13"/>
  <c r="S17" i="13" s="1"/>
  <c r="S22" i="11"/>
  <c r="R22" i="12"/>
  <c r="S22" i="12" s="1"/>
  <c r="R22" i="13"/>
  <c r="S22" i="13" s="1"/>
  <c r="S41" i="11"/>
  <c r="R41" i="12"/>
  <c r="S41" i="12" s="1"/>
  <c r="R41" i="13"/>
  <c r="S41" i="13" s="1"/>
  <c r="N22" i="12"/>
  <c r="N22" i="29" s="1"/>
  <c r="N64" i="29" s="1"/>
  <c r="N22" i="13"/>
  <c r="N12" i="12"/>
  <c r="N12" i="29" s="1"/>
  <c r="N54" i="29" s="1"/>
  <c r="N12" i="13"/>
  <c r="N7" i="12"/>
  <c r="N7" i="29" s="1"/>
  <c r="N49" i="29" s="1"/>
  <c r="N7" i="13"/>
  <c r="T11" i="12"/>
  <c r="T11" i="13"/>
  <c r="T12" i="12"/>
  <c r="T12" i="13"/>
  <c r="T15" i="12"/>
  <c r="T15" i="13"/>
  <c r="R21" i="12"/>
  <c r="S21" i="12" s="1"/>
  <c r="S21" i="11"/>
  <c r="R21" i="13"/>
  <c r="S21" i="13" s="1"/>
  <c r="S28" i="11"/>
  <c r="R28" i="12"/>
  <c r="S28" i="12" s="1"/>
  <c r="R28" i="13"/>
  <c r="S28" i="13" s="1"/>
  <c r="T34" i="12"/>
  <c r="T34" i="13"/>
  <c r="R5" i="12"/>
  <c r="Q5" i="29" s="1"/>
  <c r="Q47" i="29" s="1"/>
  <c r="S5" i="11"/>
  <c r="R5" i="13"/>
  <c r="R43" i="11"/>
  <c r="N37" i="12"/>
  <c r="N37" i="13"/>
  <c r="N31" i="12"/>
  <c r="N31" i="13"/>
  <c r="N9" i="12"/>
  <c r="N9" i="29" s="1"/>
  <c r="N51" i="29" s="1"/>
  <c r="N9" i="13"/>
  <c r="L47" i="11"/>
  <c r="T16" i="12"/>
  <c r="R16" i="29" s="1"/>
  <c r="R58" i="29" s="1"/>
  <c r="T16" i="13"/>
  <c r="T35" i="12"/>
  <c r="R35" i="29" s="1"/>
  <c r="R77" i="29" s="1"/>
  <c r="T35" i="13"/>
  <c r="T6" i="12"/>
  <c r="R6" i="29" s="1"/>
  <c r="R48" i="29" s="1"/>
  <c r="T6" i="13"/>
  <c r="N35" i="12"/>
  <c r="N35" i="29" s="1"/>
  <c r="N77" i="29" s="1"/>
  <c r="N35" i="13"/>
  <c r="S30" i="11"/>
  <c r="R30" i="12"/>
  <c r="S30" i="12" s="1"/>
  <c r="R30" i="13"/>
  <c r="S30" i="13" s="1"/>
  <c r="S12" i="11"/>
  <c r="R12" i="12"/>
  <c r="S12" i="12" s="1"/>
  <c r="R12" i="13"/>
  <c r="S12" i="13" s="1"/>
  <c r="AA14" i="11"/>
  <c r="Z14" i="12"/>
  <c r="AA14" i="12" s="1"/>
  <c r="Z14" i="13"/>
  <c r="AA14" i="13" s="1"/>
  <c r="AA12" i="11"/>
  <c r="Z12" i="12"/>
  <c r="AA12" i="12" s="1"/>
  <c r="Z12" i="13"/>
  <c r="AA12" i="13" s="1"/>
  <c r="AA6" i="11"/>
  <c r="Z6" i="12"/>
  <c r="AA6" i="12" s="1"/>
  <c r="Z6" i="13"/>
  <c r="AA6" i="13" s="1"/>
  <c r="S11" i="11"/>
  <c r="R11" i="12"/>
  <c r="S11" i="12" s="1"/>
  <c r="R11" i="13"/>
  <c r="S11" i="13" s="1"/>
  <c r="R38" i="12"/>
  <c r="S38" i="12" s="1"/>
  <c r="S38" i="11"/>
  <c r="R38" i="13"/>
  <c r="S38" i="13" s="1"/>
  <c r="R6" i="12"/>
  <c r="S6" i="12" s="1"/>
  <c r="S6" i="11"/>
  <c r="R6" i="13"/>
  <c r="S6" i="13" s="1"/>
  <c r="N36" i="12"/>
  <c r="N36" i="29" s="1"/>
  <c r="N78" i="29" s="1"/>
  <c r="N36" i="13"/>
  <c r="N18" i="12"/>
  <c r="N18" i="29" s="1"/>
  <c r="N60" i="29" s="1"/>
  <c r="N18" i="13"/>
  <c r="N10" i="12"/>
  <c r="N10" i="29" s="1"/>
  <c r="N52" i="29" s="1"/>
  <c r="N10" i="13"/>
  <c r="T26" i="12"/>
  <c r="T26" i="13"/>
  <c r="T22" i="12"/>
  <c r="R22" i="29" s="1"/>
  <c r="R64" i="29" s="1"/>
  <c r="T22" i="13"/>
  <c r="T7" i="12"/>
  <c r="R7" i="29" s="1"/>
  <c r="R49" i="29" s="1"/>
  <c r="T7" i="13"/>
  <c r="AA18" i="11"/>
  <c r="Z18" i="12"/>
  <c r="AA18" i="12" s="1"/>
  <c r="Z18" i="13"/>
  <c r="AA18" i="13" s="1"/>
  <c r="N11" i="12"/>
  <c r="N11" i="29" s="1"/>
  <c r="N53" i="29" s="1"/>
  <c r="N11" i="13"/>
  <c r="T18" i="12"/>
  <c r="T18" i="13"/>
  <c r="AA19" i="11"/>
  <c r="Z19" i="12"/>
  <c r="AA19" i="12" s="1"/>
  <c r="Z19" i="13"/>
  <c r="AA19" i="13" s="1"/>
  <c r="AA11" i="11"/>
  <c r="Z11" i="12"/>
  <c r="AA11" i="12" s="1"/>
  <c r="Z11" i="13"/>
  <c r="AA11" i="13" s="1"/>
  <c r="AA7" i="11"/>
  <c r="Z7" i="12"/>
  <c r="AA7" i="12" s="1"/>
  <c r="Z7" i="13"/>
  <c r="AA7" i="13" s="1"/>
  <c r="S36" i="11"/>
  <c r="R36" i="12"/>
  <c r="S36" i="12" s="1"/>
  <c r="R36" i="13"/>
  <c r="S36" i="13" s="1"/>
  <c r="S26" i="11"/>
  <c r="R26" i="12"/>
  <c r="S26" i="12" s="1"/>
  <c r="R26" i="13"/>
  <c r="S26" i="13" s="1"/>
  <c r="S8" i="11"/>
  <c r="R8" i="12"/>
  <c r="S8" i="12" s="1"/>
  <c r="R8" i="13"/>
  <c r="S8" i="13" s="1"/>
  <c r="N21" i="12"/>
  <c r="N21" i="29" s="1"/>
  <c r="N63" i="29" s="1"/>
  <c r="N21" i="13"/>
  <c r="N23" i="12"/>
  <c r="N23" i="29" s="1"/>
  <c r="N65" i="29" s="1"/>
  <c r="N23" i="13"/>
  <c r="N17" i="12"/>
  <c r="N17" i="29" s="1"/>
  <c r="N59" i="29" s="1"/>
  <c r="N17" i="13"/>
  <c r="N15" i="12"/>
  <c r="N15" i="29" s="1"/>
  <c r="N57" i="29" s="1"/>
  <c r="N15" i="13"/>
  <c r="T20" i="12"/>
  <c r="T20" i="13"/>
  <c r="T13" i="12"/>
  <c r="T13" i="13"/>
  <c r="T8" i="12"/>
  <c r="R8" i="29" s="1"/>
  <c r="R50" i="29" s="1"/>
  <c r="T8" i="13"/>
  <c r="AA33" i="11"/>
  <c r="Z33" i="12"/>
  <c r="AA33" i="12" s="1"/>
  <c r="Z33" i="13"/>
  <c r="AA33" i="13" s="1"/>
  <c r="T5" i="12"/>
  <c r="T5" i="13"/>
  <c r="T43" i="11"/>
  <c r="AA20" i="11"/>
  <c r="Z20" i="12"/>
  <c r="AA20" i="12" s="1"/>
  <c r="Z20" i="13"/>
  <c r="AA20" i="13" s="1"/>
  <c r="AA29" i="11"/>
  <c r="Z29" i="12"/>
  <c r="AA29" i="12" s="1"/>
  <c r="Z29" i="13"/>
  <c r="AA29" i="13" s="1"/>
  <c r="AA21" i="11"/>
  <c r="Z21" i="12"/>
  <c r="AA21" i="12" s="1"/>
  <c r="Z21" i="13"/>
  <c r="AA21" i="13" s="1"/>
  <c r="AA8" i="11"/>
  <c r="Z8" i="12"/>
  <c r="AA8" i="12" s="1"/>
  <c r="Z8" i="13"/>
  <c r="AA8" i="13" s="1"/>
  <c r="S35" i="11"/>
  <c r="R35" i="12"/>
  <c r="S35" i="12" s="1"/>
  <c r="R35" i="13"/>
  <c r="S35" i="13" s="1"/>
  <c r="S13" i="11"/>
  <c r="R13" i="12"/>
  <c r="S13" i="12" s="1"/>
  <c r="R13" i="13"/>
  <c r="S13" i="13" s="1"/>
  <c r="S7" i="11"/>
  <c r="R7" i="12"/>
  <c r="S7" i="12" s="1"/>
  <c r="R7" i="13"/>
  <c r="S7" i="13" s="1"/>
  <c r="N29" i="12"/>
  <c r="N29" i="29" s="1"/>
  <c r="N71" i="29" s="1"/>
  <c r="N29" i="13"/>
  <c r="N38" i="12"/>
  <c r="N38" i="29" s="1"/>
  <c r="N80" i="29" s="1"/>
  <c r="N38" i="13"/>
  <c r="N16" i="12"/>
  <c r="N16" i="29" s="1"/>
  <c r="N58" i="29" s="1"/>
  <c r="N16" i="13"/>
  <c r="T31" i="12"/>
  <c r="T31" i="13"/>
  <c r="T37" i="12"/>
  <c r="T37" i="13"/>
  <c r="T9" i="12"/>
  <c r="T9" i="13"/>
  <c r="AA37" i="11"/>
  <c r="Z37" i="12"/>
  <c r="AA37" i="12" s="1"/>
  <c r="Z37" i="13"/>
  <c r="AA37" i="13" s="1"/>
  <c r="AA5" i="11"/>
  <c r="Z5" i="12"/>
  <c r="V5" i="29" s="1"/>
  <c r="V47" i="29" s="1"/>
  <c r="Z43" i="11"/>
  <c r="Z5" i="13"/>
  <c r="AA16" i="11"/>
  <c r="Z16" i="12"/>
  <c r="AA16" i="12" s="1"/>
  <c r="Z16" i="13"/>
  <c r="AA16" i="13" s="1"/>
  <c r="S34" i="11"/>
  <c r="R34" i="12"/>
  <c r="S34" i="12" s="1"/>
  <c r="R34" i="13"/>
  <c r="S34" i="13" s="1"/>
  <c r="S39" i="11"/>
  <c r="R39" i="12"/>
  <c r="S39" i="12" s="1"/>
  <c r="R39" i="13"/>
  <c r="S39" i="13" s="1"/>
  <c r="S9" i="11"/>
  <c r="R9" i="12"/>
  <c r="S9" i="12" s="1"/>
  <c r="R9" i="13"/>
  <c r="S9" i="13" s="1"/>
  <c r="N27" i="12"/>
  <c r="N27" i="13"/>
  <c r="N25" i="12"/>
  <c r="N25" i="13"/>
  <c r="N39" i="12"/>
  <c r="N39" i="13"/>
  <c r="T29" i="12"/>
  <c r="R29" i="29" s="1"/>
  <c r="R71" i="29" s="1"/>
  <c r="T29" i="13"/>
  <c r="T19" i="12"/>
  <c r="R19" i="29" s="1"/>
  <c r="R61" i="29" s="1"/>
  <c r="T19" i="13"/>
  <c r="T36" i="12"/>
  <c r="T36" i="13"/>
  <c r="T10" i="12"/>
  <c r="T10" i="13"/>
  <c r="S33" i="11"/>
  <c r="R33" i="12"/>
  <c r="S33" i="12" s="1"/>
  <c r="R33" i="13"/>
  <c r="S33" i="13" s="1"/>
  <c r="AA38" i="11"/>
  <c r="Z38" i="12"/>
  <c r="AA38" i="12" s="1"/>
  <c r="Z38" i="13"/>
  <c r="AA38" i="13" s="1"/>
  <c r="AA9" i="11"/>
  <c r="Z9" i="12"/>
  <c r="AA9" i="12" s="1"/>
  <c r="Z9" i="13"/>
  <c r="AA9" i="13" s="1"/>
  <c r="AA31" i="11"/>
  <c r="Z31" i="12"/>
  <c r="AA31" i="12" s="1"/>
  <c r="Z31" i="13"/>
  <c r="AA31" i="13" s="1"/>
  <c r="AA26" i="11"/>
  <c r="Z26" i="12"/>
  <c r="AA26" i="12" s="1"/>
  <c r="Z26" i="13"/>
  <c r="AA26" i="13" s="1"/>
  <c r="AA10" i="11"/>
  <c r="Z10" i="12"/>
  <c r="AA10" i="12" s="1"/>
  <c r="Z10" i="13"/>
  <c r="AA10" i="13" s="1"/>
  <c r="S32" i="11"/>
  <c r="R32" i="12"/>
  <c r="S32" i="12" s="1"/>
  <c r="R32" i="13"/>
  <c r="S32" i="13" s="1"/>
  <c r="R27" i="12"/>
  <c r="S27" i="12" s="1"/>
  <c r="S27" i="11"/>
  <c r="R27" i="13"/>
  <c r="S27" i="13" s="1"/>
  <c r="S10" i="11"/>
  <c r="R10" i="12"/>
  <c r="S10" i="12" s="1"/>
  <c r="R10" i="13"/>
  <c r="S10" i="13" s="1"/>
  <c r="N34" i="12"/>
  <c r="N34" i="29" s="1"/>
  <c r="N76" i="29" s="1"/>
  <c r="N34" i="13"/>
  <c r="N24" i="12"/>
  <c r="N24" i="29" s="1"/>
  <c r="N66" i="29" s="1"/>
  <c r="N24" i="13"/>
  <c r="N13" i="12"/>
  <c r="N13" i="29" s="1"/>
  <c r="N55" i="29" s="1"/>
  <c r="N13" i="13"/>
  <c r="T17" i="12"/>
  <c r="R17" i="29" s="1"/>
  <c r="R59" i="29" s="1"/>
  <c r="T17" i="13"/>
  <c r="T27" i="12"/>
  <c r="T27" i="13"/>
  <c r="T23" i="12"/>
  <c r="R23" i="29" s="1"/>
  <c r="R65" i="29" s="1"/>
  <c r="T23" i="13"/>
  <c r="N8" i="12"/>
  <c r="N8" i="29" s="1"/>
  <c r="N50" i="29" s="1"/>
  <c r="N8" i="13"/>
  <c r="AA25" i="11"/>
  <c r="Z25" i="12"/>
  <c r="AA25" i="12" s="1"/>
  <c r="Z25" i="13"/>
  <c r="AA25" i="13" s="1"/>
  <c r="AA35" i="11"/>
  <c r="Z35" i="12"/>
  <c r="AA35" i="12" s="1"/>
  <c r="Z35" i="13"/>
  <c r="AA35" i="13" s="1"/>
  <c r="AA30" i="11"/>
  <c r="Z30" i="12"/>
  <c r="AA30" i="12" s="1"/>
  <c r="Z30" i="13"/>
  <c r="AA30" i="13" s="1"/>
  <c r="AA13" i="11"/>
  <c r="Z13" i="12"/>
  <c r="AA13" i="12" s="1"/>
  <c r="Z13" i="13"/>
  <c r="AA13" i="13" s="1"/>
  <c r="AA15" i="11"/>
  <c r="Z15" i="12"/>
  <c r="AA15" i="12" s="1"/>
  <c r="Z15" i="13"/>
  <c r="AA15" i="13" s="1"/>
  <c r="S29" i="11"/>
  <c r="R29" i="12"/>
  <c r="S29" i="12" s="1"/>
  <c r="R29" i="13"/>
  <c r="S29" i="13" s="1"/>
  <c r="S16" i="11"/>
  <c r="R16" i="12"/>
  <c r="S16" i="12" s="1"/>
  <c r="R16" i="13"/>
  <c r="S16" i="13" s="1"/>
  <c r="R18" i="12"/>
  <c r="S18" i="12" s="1"/>
  <c r="S18" i="11"/>
  <c r="R18" i="13"/>
  <c r="S18" i="13" s="1"/>
  <c r="R15" i="12"/>
  <c r="S15" i="12" s="1"/>
  <c r="S15" i="11"/>
  <c r="R15" i="13"/>
  <c r="S15" i="13" s="1"/>
  <c r="N32" i="12"/>
  <c r="N32" i="29" s="1"/>
  <c r="N74" i="29" s="1"/>
  <c r="N32" i="13"/>
  <c r="N30" i="12"/>
  <c r="N30" i="29" s="1"/>
  <c r="N72" i="29" s="1"/>
  <c r="N30" i="13"/>
  <c r="N19" i="12"/>
  <c r="N19" i="29" s="1"/>
  <c r="N61" i="29" s="1"/>
  <c r="N19" i="13"/>
  <c r="T39" i="12"/>
  <c r="T39" i="13"/>
  <c r="T32" i="12"/>
  <c r="T32" i="13"/>
  <c r="T41" i="12"/>
  <c r="T41" i="13"/>
  <c r="F4" i="5"/>
  <c r="E4" i="5"/>
  <c r="D10" i="5"/>
  <c r="T56" i="6" s="1"/>
  <c r="E30" i="5"/>
  <c r="F30" i="5"/>
  <c r="M26" i="9" l="1"/>
  <c r="U23" i="9"/>
  <c r="U30" i="9"/>
  <c r="U28" i="9"/>
  <c r="U37" i="9"/>
  <c r="U48" i="9"/>
  <c r="U31" i="9"/>
  <c r="U41" i="9"/>
  <c r="U40" i="9"/>
  <c r="U39" i="9"/>
  <c r="U15" i="9"/>
  <c r="U12" i="9"/>
  <c r="U46" i="9"/>
  <c r="V31" i="7"/>
  <c r="V46" i="7"/>
  <c r="V47" i="7"/>
  <c r="V34" i="7"/>
  <c r="V26" i="7"/>
  <c r="V18" i="7"/>
  <c r="V10" i="7"/>
  <c r="V40" i="7"/>
  <c r="V27" i="7"/>
  <c r="V19" i="7"/>
  <c r="V33" i="7"/>
  <c r="V7" i="7"/>
  <c r="AB7" i="7" s="1"/>
  <c r="V48" i="7"/>
  <c r="V45" i="7"/>
  <c r="V39" i="7"/>
  <c r="V20" i="7"/>
  <c r="V35" i="7"/>
  <c r="V36" i="7"/>
  <c r="V21" i="7"/>
  <c r="V9" i="7"/>
  <c r="V32" i="7"/>
  <c r="V44" i="7"/>
  <c r="V42" i="7"/>
  <c r="V28" i="7"/>
  <c r="V16" i="7"/>
  <c r="V8" i="7"/>
  <c r="V41" i="7"/>
  <c r="V17" i="7"/>
  <c r="V5" i="7"/>
  <c r="V29" i="7"/>
  <c r="V51" i="7"/>
  <c r="V38" i="7"/>
  <c r="V24" i="7"/>
  <c r="V14" i="7"/>
  <c r="V6" i="7"/>
  <c r="V25" i="7"/>
  <c r="V15" i="7"/>
  <c r="V11" i="7"/>
  <c r="V50" i="7"/>
  <c r="V49" i="7"/>
  <c r="V43" i="7"/>
  <c r="V22" i="7"/>
  <c r="V12" i="7"/>
  <c r="AB12" i="7" s="1"/>
  <c r="V30" i="7"/>
  <c r="V23" i="7"/>
  <c r="V37" i="7"/>
  <c r="V13" i="7"/>
  <c r="P39" i="9"/>
  <c r="P6" i="9"/>
  <c r="P49" i="9"/>
  <c r="P18" i="9"/>
  <c r="P47" i="9"/>
  <c r="P20" i="9"/>
  <c r="P25" i="9"/>
  <c r="P32" i="9"/>
  <c r="P14" i="9"/>
  <c r="P19" i="9"/>
  <c r="AI25" i="9"/>
  <c r="AI31" i="9"/>
  <c r="AI43" i="9"/>
  <c r="AI24" i="9"/>
  <c r="AI23" i="9"/>
  <c r="AI45" i="9"/>
  <c r="AI49" i="9"/>
  <c r="AI11" i="9"/>
  <c r="AI33" i="9"/>
  <c r="AI17" i="9"/>
  <c r="AI22" i="9"/>
  <c r="O15" i="11"/>
  <c r="O7" i="11"/>
  <c r="O26" i="11"/>
  <c r="O25" i="11"/>
  <c r="O11" i="11"/>
  <c r="O35" i="11"/>
  <c r="O32" i="11"/>
  <c r="O16" i="11"/>
  <c r="O13" i="11"/>
  <c r="O39" i="11"/>
  <c r="O38" i="11"/>
  <c r="O22" i="11"/>
  <c r="O17" i="11"/>
  <c r="O27" i="11"/>
  <c r="O36" i="11"/>
  <c r="O21" i="11"/>
  <c r="O28" i="11"/>
  <c r="O10" i="11"/>
  <c r="O5" i="11"/>
  <c r="O12" i="11"/>
  <c r="O37" i="11"/>
  <c r="O18" i="11"/>
  <c r="O31" i="11"/>
  <c r="O40" i="11"/>
  <c r="O9" i="11"/>
  <c r="O24" i="11"/>
  <c r="O33" i="11"/>
  <c r="O20" i="11"/>
  <c r="O19" i="11"/>
  <c r="O41" i="11"/>
  <c r="O29" i="11"/>
  <c r="O8" i="11"/>
  <c r="O34" i="11"/>
  <c r="O14" i="11"/>
  <c r="O6" i="11"/>
  <c r="O23" i="11"/>
  <c r="O30" i="11"/>
  <c r="U25" i="12"/>
  <c r="S25" i="29" s="1"/>
  <c r="S67" i="29" s="1"/>
  <c r="U25" i="13"/>
  <c r="U26" i="13"/>
  <c r="U26" i="12"/>
  <c r="S26" i="29" s="1"/>
  <c r="S68" i="29" s="1"/>
  <c r="S30" i="29"/>
  <c r="S72" i="29" s="1"/>
  <c r="U30" i="12"/>
  <c r="U30" i="13"/>
  <c r="S10" i="29"/>
  <c r="S52" i="29" s="1"/>
  <c r="U10" i="12"/>
  <c r="U10" i="13"/>
  <c r="U29" i="12"/>
  <c r="S29" i="29" s="1"/>
  <c r="S71" i="29" s="1"/>
  <c r="U29" i="13"/>
  <c r="U33" i="13"/>
  <c r="U33" i="12"/>
  <c r="S33" i="29" s="1"/>
  <c r="S75" i="29" s="1"/>
  <c r="S16" i="29"/>
  <c r="S58" i="29" s="1"/>
  <c r="U16" i="13"/>
  <c r="U16" i="12"/>
  <c r="S20" i="29"/>
  <c r="S62" i="29" s="1"/>
  <c r="U20" i="13"/>
  <c r="U20" i="12"/>
  <c r="U9" i="13"/>
  <c r="U9" i="12"/>
  <c r="S9" i="29" s="1"/>
  <c r="S51" i="29" s="1"/>
  <c r="R13" i="29"/>
  <c r="R55" i="29" s="1"/>
  <c r="R11" i="29"/>
  <c r="R53" i="29" s="1"/>
  <c r="X15" i="8"/>
  <c r="W15" i="28" s="1"/>
  <c r="W67" i="28" s="1"/>
  <c r="X49" i="8"/>
  <c r="W49" i="28" s="1"/>
  <c r="W101" i="28" s="1"/>
  <c r="X9" i="8"/>
  <c r="W9" i="28" s="1"/>
  <c r="W61" i="28" s="1"/>
  <c r="AD36" i="7"/>
  <c r="AC36" i="9"/>
  <c r="AD36" i="9" s="1"/>
  <c r="AD47" i="7"/>
  <c r="AC47" i="9"/>
  <c r="AD47" i="9" s="1"/>
  <c r="AC34" i="9"/>
  <c r="AD34" i="9" s="1"/>
  <c r="AD34" i="7"/>
  <c r="AC23" i="9"/>
  <c r="AD23" i="9" s="1"/>
  <c r="AD23" i="7"/>
  <c r="AC39" i="9"/>
  <c r="AD39" i="9" s="1"/>
  <c r="AD39" i="7"/>
  <c r="AD5" i="7"/>
  <c r="AC53" i="7"/>
  <c r="AC58" i="7" s="1"/>
  <c r="AC23" i="8" s="1"/>
  <c r="AC5" i="9"/>
  <c r="AC50" i="9"/>
  <c r="AD50" i="9" s="1"/>
  <c r="AD50" i="7"/>
  <c r="AC51" i="9"/>
  <c r="AD51" i="9" s="1"/>
  <c r="AD51" i="7"/>
  <c r="AC7" i="9"/>
  <c r="AD7" i="9" s="1"/>
  <c r="AD7" i="7"/>
  <c r="AD45" i="7"/>
  <c r="AC45" i="9"/>
  <c r="AD45" i="9" s="1"/>
  <c r="AC21" i="9"/>
  <c r="AD21" i="9" s="1"/>
  <c r="AD21" i="7"/>
  <c r="AD9" i="7"/>
  <c r="AC9" i="8"/>
  <c r="AD9" i="8" s="1"/>
  <c r="AC9" i="9"/>
  <c r="AD9" i="9" s="1"/>
  <c r="X32" i="8"/>
  <c r="W32" i="28" s="1"/>
  <c r="W84" i="28" s="1"/>
  <c r="X41" i="8"/>
  <c r="W41" i="28" s="1"/>
  <c r="W93" i="28" s="1"/>
  <c r="X6" i="8"/>
  <c r="W6" i="28" s="1"/>
  <c r="W58" i="28" s="1"/>
  <c r="X53" i="9"/>
  <c r="W13" i="9"/>
  <c r="W14" i="9"/>
  <c r="W38" i="9"/>
  <c r="W15" i="9"/>
  <c r="W16" i="9"/>
  <c r="W40" i="9"/>
  <c r="W17" i="9"/>
  <c r="W18" i="9"/>
  <c r="W42" i="9"/>
  <c r="W19" i="9"/>
  <c r="W20" i="9"/>
  <c r="W44" i="9"/>
  <c r="O47" i="9"/>
  <c r="O6" i="9"/>
  <c r="O39" i="9"/>
  <c r="O40" i="9"/>
  <c r="O8" i="9"/>
  <c r="O27" i="9"/>
  <c r="O45" i="9"/>
  <c r="O12" i="9"/>
  <c r="O51" i="9"/>
  <c r="O43" i="9"/>
  <c r="O14" i="9"/>
  <c r="L50" i="9"/>
  <c r="L16" i="9"/>
  <c r="L35" i="9"/>
  <c r="L22" i="9"/>
  <c r="L6" i="9"/>
  <c r="L45" i="9"/>
  <c r="L14" i="9"/>
  <c r="L42" i="9"/>
  <c r="L7" i="9"/>
  <c r="L9" i="9"/>
  <c r="L36" i="9"/>
  <c r="L40" i="9"/>
  <c r="X10" i="30"/>
  <c r="X37" i="8"/>
  <c r="W37" i="28" s="1"/>
  <c r="W89" i="28" s="1"/>
  <c r="X30" i="8"/>
  <c r="W30" i="28" s="1"/>
  <c r="W82" i="28" s="1"/>
  <c r="X46" i="8"/>
  <c r="W46" i="28" s="1"/>
  <c r="W98" i="28" s="1"/>
  <c r="R33" i="9"/>
  <c r="R36" i="9"/>
  <c r="R9" i="9"/>
  <c r="R50" i="9"/>
  <c r="R48" i="9"/>
  <c r="R11" i="9"/>
  <c r="R44" i="9"/>
  <c r="R6" i="9"/>
  <c r="R13" i="9"/>
  <c r="R49" i="9"/>
  <c r="AH21" i="9"/>
  <c r="AH23" i="9"/>
  <c r="AH10" i="9"/>
  <c r="AH46" i="9"/>
  <c r="AH42" i="9"/>
  <c r="AH12" i="9"/>
  <c r="AH34" i="9"/>
  <c r="AH40" i="9"/>
  <c r="AH14" i="9"/>
  <c r="AH30" i="9"/>
  <c r="AH24" i="9"/>
  <c r="AH16" i="9"/>
  <c r="Q33" i="9"/>
  <c r="Q36" i="9"/>
  <c r="Q26" i="9"/>
  <c r="Q34" i="9"/>
  <c r="Q47" i="9"/>
  <c r="Q28" i="9"/>
  <c r="Q31" i="9"/>
  <c r="Q7" i="9"/>
  <c r="Q5" i="9"/>
  <c r="Q53" i="7"/>
  <c r="Q58" i="7" s="1"/>
  <c r="Q33" i="8" s="1"/>
  <c r="Q33" i="28" s="1"/>
  <c r="Q85" i="28" s="1"/>
  <c r="Q39" i="9"/>
  <c r="Q41" i="9"/>
  <c r="Q9" i="9"/>
  <c r="R9" i="29"/>
  <c r="R51" i="29" s="1"/>
  <c r="R34" i="29"/>
  <c r="R76" i="29" s="1"/>
  <c r="R30" i="29"/>
  <c r="R72" i="29" s="1"/>
  <c r="N40" i="29"/>
  <c r="N82" i="29" s="1"/>
  <c r="N27" i="29"/>
  <c r="N69" i="29" s="1"/>
  <c r="Q26" i="29"/>
  <c r="Q68" i="29" s="1"/>
  <c r="Q17" i="29"/>
  <c r="Q59" i="29" s="1"/>
  <c r="V41" i="29"/>
  <c r="V83" i="29" s="1"/>
  <c r="V30" i="29"/>
  <c r="V72" i="29" s="1"/>
  <c r="Q20" i="29"/>
  <c r="Q62" i="29" s="1"/>
  <c r="Q30" i="29"/>
  <c r="Q72" i="29" s="1"/>
  <c r="V23" i="29"/>
  <c r="V65" i="29" s="1"/>
  <c r="V29" i="29"/>
  <c r="V71" i="29" s="1"/>
  <c r="Q14" i="29"/>
  <c r="Q56" i="29" s="1"/>
  <c r="Q21" i="29"/>
  <c r="Q63" i="29" s="1"/>
  <c r="Q40" i="29"/>
  <c r="Q82" i="29" s="1"/>
  <c r="Q19" i="29"/>
  <c r="Q61" i="29" s="1"/>
  <c r="Q9" i="29"/>
  <c r="Q51" i="29" s="1"/>
  <c r="Q37" i="29"/>
  <c r="Q79" i="29" s="1"/>
  <c r="V6" i="29"/>
  <c r="V48" i="29" s="1"/>
  <c r="L11" i="31" s="1"/>
  <c r="V22" i="29"/>
  <c r="V64" i="29" s="1"/>
  <c r="V9" i="29"/>
  <c r="V51" i="29" s="1"/>
  <c r="V28" i="29"/>
  <c r="V70" i="29" s="1"/>
  <c r="U27" i="9"/>
  <c r="U8" i="9"/>
  <c r="U34" i="9"/>
  <c r="U13" i="9"/>
  <c r="U44" i="9"/>
  <c r="U38" i="9"/>
  <c r="U45" i="9"/>
  <c r="U10" i="9"/>
  <c r="U42" i="9"/>
  <c r="U11" i="9"/>
  <c r="U18" i="9"/>
  <c r="U49" i="9"/>
  <c r="V54" i="7"/>
  <c r="V54" i="8"/>
  <c r="V58" i="8" s="1"/>
  <c r="V23" i="9" s="1"/>
  <c r="V54" i="9"/>
  <c r="P31" i="9"/>
  <c r="P16" i="9"/>
  <c r="P36" i="9"/>
  <c r="P41" i="9"/>
  <c r="P50" i="9"/>
  <c r="P28" i="9"/>
  <c r="P35" i="9"/>
  <c r="P33" i="9"/>
  <c r="AI50" i="9"/>
  <c r="AI39" i="9"/>
  <c r="AI13" i="9"/>
  <c r="AI46" i="9"/>
  <c r="AI48" i="9"/>
  <c r="AI32" i="9"/>
  <c r="AI26" i="9"/>
  <c r="AI20" i="9"/>
  <c r="AI19" i="9"/>
  <c r="AI41" i="9"/>
  <c r="AI34" i="9"/>
  <c r="AI29" i="9"/>
  <c r="U13" i="13"/>
  <c r="U13" i="12"/>
  <c r="S13" i="29" s="1"/>
  <c r="S55" i="29" s="1"/>
  <c r="U6" i="12"/>
  <c r="S6" i="29" s="1"/>
  <c r="S48" i="29" s="1"/>
  <c r="U6" i="13"/>
  <c r="S38" i="29"/>
  <c r="S80" i="29" s="1"/>
  <c r="U38" i="12"/>
  <c r="U38" i="13"/>
  <c r="S19" i="29"/>
  <c r="S61" i="29" s="1"/>
  <c r="U19" i="13"/>
  <c r="U19" i="12"/>
  <c r="U7" i="13"/>
  <c r="U7" i="12"/>
  <c r="S7" i="29" s="1"/>
  <c r="S49" i="29" s="1"/>
  <c r="U17" i="12"/>
  <c r="U17" i="13"/>
  <c r="S15" i="29"/>
  <c r="S57" i="29" s="1"/>
  <c r="U15" i="13"/>
  <c r="U15" i="12"/>
  <c r="S35" i="29"/>
  <c r="S77" i="29" s="1"/>
  <c r="U35" i="12"/>
  <c r="U35" i="13"/>
  <c r="U5" i="12"/>
  <c r="U43" i="11"/>
  <c r="U5" i="13"/>
  <c r="U21" i="12"/>
  <c r="S21" i="29" s="1"/>
  <c r="S63" i="29" s="1"/>
  <c r="U21" i="13"/>
  <c r="R12" i="29"/>
  <c r="R54" i="29" s="1"/>
  <c r="R39" i="29"/>
  <c r="R81" i="29" s="1"/>
  <c r="AC44" i="9"/>
  <c r="AD44" i="9" s="1"/>
  <c r="AD44" i="7"/>
  <c r="AD33" i="7"/>
  <c r="AC33" i="9"/>
  <c r="AD33" i="9" s="1"/>
  <c r="AC11" i="8"/>
  <c r="AD11" i="8" s="1"/>
  <c r="AC11" i="9"/>
  <c r="AD11" i="9" s="1"/>
  <c r="AD11" i="7"/>
  <c r="AD41" i="7"/>
  <c r="AC41" i="9"/>
  <c r="AD41" i="9" s="1"/>
  <c r="AD32" i="7"/>
  <c r="AC32" i="9"/>
  <c r="AD32" i="9" s="1"/>
  <c r="AA13" i="28"/>
  <c r="AA65" i="28" s="1"/>
  <c r="AC13" i="8"/>
  <c r="AD13" i="8" s="1"/>
  <c r="AD13" i="7"/>
  <c r="AC13" i="9"/>
  <c r="AD13" i="9" s="1"/>
  <c r="AA24" i="28"/>
  <c r="AA76" i="28" s="1"/>
  <c r="AD24" i="7"/>
  <c r="AC24" i="8"/>
  <c r="AD24" i="8" s="1"/>
  <c r="AC24" i="9"/>
  <c r="AD24" i="9" s="1"/>
  <c r="AA27" i="28"/>
  <c r="AA79" i="28" s="1"/>
  <c r="AD27" i="7"/>
  <c r="AC27" i="8"/>
  <c r="AD27" i="8" s="1"/>
  <c r="AC27" i="9"/>
  <c r="AD27" i="9" s="1"/>
  <c r="AD15" i="7"/>
  <c r="AC15" i="9"/>
  <c r="AD15" i="9" s="1"/>
  <c r="AC26" i="9"/>
  <c r="AD26" i="9" s="1"/>
  <c r="AD26" i="7"/>
  <c r="AD12" i="7"/>
  <c r="AC12" i="9"/>
  <c r="AD12" i="9" s="1"/>
  <c r="AD17" i="7"/>
  <c r="AC17" i="9"/>
  <c r="AD17" i="9" s="1"/>
  <c r="X12" i="8"/>
  <c r="W12" i="28" s="1"/>
  <c r="W64" i="28" s="1"/>
  <c r="X29" i="8"/>
  <c r="W29" i="28" s="1"/>
  <c r="W81" i="28" s="1"/>
  <c r="X39" i="8"/>
  <c r="W39" i="28" s="1"/>
  <c r="W91" i="28" s="1"/>
  <c r="W21" i="9"/>
  <c r="W22" i="9"/>
  <c r="W46" i="9"/>
  <c r="W23" i="9"/>
  <c r="W24" i="9"/>
  <c r="W48" i="9"/>
  <c r="W25" i="9"/>
  <c r="W26" i="9"/>
  <c r="W50" i="9"/>
  <c r="W27" i="9"/>
  <c r="W28" i="9"/>
  <c r="O26" i="9"/>
  <c r="O28" i="9"/>
  <c r="O16" i="9"/>
  <c r="O24" i="9"/>
  <c r="O21" i="9"/>
  <c r="O18" i="9"/>
  <c r="O34" i="9"/>
  <c r="O31" i="9"/>
  <c r="O20" i="9"/>
  <c r="O44" i="9"/>
  <c r="O33" i="9"/>
  <c r="O53" i="7"/>
  <c r="O58" i="7" s="1"/>
  <c r="O5" i="9"/>
  <c r="L34" i="9"/>
  <c r="L24" i="9"/>
  <c r="L41" i="9"/>
  <c r="L28" i="9"/>
  <c r="L49" i="9"/>
  <c r="L39" i="9"/>
  <c r="L53" i="7"/>
  <c r="L58" i="7" s="1"/>
  <c r="L5" i="9"/>
  <c r="L47" i="9"/>
  <c r="L12" i="9"/>
  <c r="L23" i="9"/>
  <c r="L37" i="9"/>
  <c r="L32" i="9"/>
  <c r="X8" i="30"/>
  <c r="Z5" i="28"/>
  <c r="Z57" i="28" s="1"/>
  <c r="AA53" i="8"/>
  <c r="R36" i="29"/>
  <c r="R78" i="29" s="1"/>
  <c r="X35" i="8"/>
  <c r="W35" i="28" s="1"/>
  <c r="W87" i="28" s="1"/>
  <c r="X27" i="8"/>
  <c r="W27" i="28" s="1"/>
  <c r="W79" i="28" s="1"/>
  <c r="R51" i="9"/>
  <c r="R31" i="9"/>
  <c r="R10" i="9"/>
  <c r="R15" i="9"/>
  <c r="R46" i="9"/>
  <c r="R12" i="9"/>
  <c r="R17" i="9"/>
  <c r="R38" i="9"/>
  <c r="R14" i="9"/>
  <c r="R19" i="9"/>
  <c r="R40" i="9"/>
  <c r="AH32" i="9"/>
  <c r="AH41" i="9"/>
  <c r="AH18" i="9"/>
  <c r="AH51" i="9"/>
  <c r="AH45" i="9"/>
  <c r="AH20" i="8"/>
  <c r="AD20" i="28" s="1"/>
  <c r="AD72" i="28" s="1"/>
  <c r="AH20" i="9"/>
  <c r="AH49" i="9"/>
  <c r="AH31" i="9"/>
  <c r="AH5" i="9"/>
  <c r="AH53" i="7"/>
  <c r="AH58" i="7" s="1"/>
  <c r="AH39" i="8"/>
  <c r="AD39" i="28" s="1"/>
  <c r="AD91" i="28" s="1"/>
  <c r="AH39" i="9"/>
  <c r="AH33" i="9"/>
  <c r="AH7" i="9"/>
  <c r="Q18" i="9"/>
  <c r="Q37" i="28"/>
  <c r="Q89" i="28" s="1"/>
  <c r="Q37" i="8"/>
  <c r="Q37" i="9"/>
  <c r="Q13" i="9"/>
  <c r="Q13" i="8"/>
  <c r="Q13" i="28" s="1"/>
  <c r="Q65" i="28" s="1"/>
  <c r="Q17" i="9"/>
  <c r="Q35" i="9"/>
  <c r="Q29" i="8"/>
  <c r="Q29" i="9"/>
  <c r="Q29" i="28" s="1"/>
  <c r="Q81" i="28" s="1"/>
  <c r="Q43" i="28"/>
  <c r="Q95" i="28" s="1"/>
  <c r="Q43" i="8"/>
  <c r="Q43" i="9"/>
  <c r="Q45" i="9"/>
  <c r="Q15" i="8"/>
  <c r="Q15" i="9"/>
  <c r="Q15" i="28" s="1"/>
  <c r="Q67" i="28" s="1"/>
  <c r="Q12" i="9"/>
  <c r="Q11" i="8"/>
  <c r="Q11" i="28" s="1"/>
  <c r="Q63" i="28" s="1"/>
  <c r="Q11" i="9"/>
  <c r="Q21" i="8"/>
  <c r="Q21" i="9"/>
  <c r="Q21" i="28" s="1"/>
  <c r="Q73" i="28" s="1"/>
  <c r="R5" i="29"/>
  <c r="R47" i="29" s="1"/>
  <c r="R14" i="29"/>
  <c r="R56" i="29" s="1"/>
  <c r="N5" i="29"/>
  <c r="N47" i="29" s="1"/>
  <c r="N25" i="29"/>
  <c r="N67" i="29" s="1"/>
  <c r="Q8" i="29"/>
  <c r="Q50" i="29" s="1"/>
  <c r="Q22" i="29"/>
  <c r="Q64" i="29" s="1"/>
  <c r="Q29" i="29"/>
  <c r="Q71" i="29" s="1"/>
  <c r="V13" i="29"/>
  <c r="V55" i="29" s="1"/>
  <c r="V19" i="29"/>
  <c r="V61" i="29" s="1"/>
  <c r="Q39" i="29"/>
  <c r="Q81" i="29" s="1"/>
  <c r="Q31" i="29"/>
  <c r="Q73" i="29" s="1"/>
  <c r="V25" i="29"/>
  <c r="V67" i="29" s="1"/>
  <c r="V40" i="29"/>
  <c r="V82" i="29" s="1"/>
  <c r="Q13" i="29"/>
  <c r="Q55" i="29" s="1"/>
  <c r="V39" i="29"/>
  <c r="V81" i="29" s="1"/>
  <c r="Q38" i="29"/>
  <c r="Q80" i="29" s="1"/>
  <c r="Q28" i="29"/>
  <c r="Q70" i="29" s="1"/>
  <c r="Q11" i="29"/>
  <c r="Q53" i="29" s="1"/>
  <c r="V27" i="29"/>
  <c r="V69" i="29" s="1"/>
  <c r="V31" i="29"/>
  <c r="V73" i="29" s="1"/>
  <c r="V36" i="29"/>
  <c r="V78" i="29" s="1"/>
  <c r="V37" i="29"/>
  <c r="V79" i="29" s="1"/>
  <c r="U25" i="9"/>
  <c r="U47" i="9"/>
  <c r="U5" i="9"/>
  <c r="U53" i="7"/>
  <c r="U58" i="7" s="1"/>
  <c r="U9" i="9"/>
  <c r="U9" i="8"/>
  <c r="T9" i="28" s="1"/>
  <c r="T61" i="28" s="1"/>
  <c r="U14" i="9"/>
  <c r="U7" i="9"/>
  <c r="U29" i="9"/>
  <c r="U16" i="9"/>
  <c r="U32" i="9"/>
  <c r="U36" i="9"/>
  <c r="U26" i="9"/>
  <c r="T35" i="28"/>
  <c r="T87" i="28" s="1"/>
  <c r="U35" i="8"/>
  <c r="U35" i="9"/>
  <c r="Y14" i="7"/>
  <c r="Y6" i="7"/>
  <c r="Y15" i="7"/>
  <c r="Y7" i="7"/>
  <c r="Y44" i="7"/>
  <c r="AB44" i="7" s="1"/>
  <c r="Y33" i="7"/>
  <c r="Y36" i="7"/>
  <c r="Y23" i="7"/>
  <c r="Y39" i="7"/>
  <c r="Y32" i="7"/>
  <c r="Y31" i="7"/>
  <c r="Y25" i="7"/>
  <c r="Y42" i="7"/>
  <c r="Y27" i="7"/>
  <c r="Y12" i="7"/>
  <c r="Y19" i="7"/>
  <c r="Y9" i="7"/>
  <c r="AB9" i="7" s="1"/>
  <c r="Y50" i="7"/>
  <c r="Y22" i="7"/>
  <c r="Y47" i="7"/>
  <c r="Y30" i="7"/>
  <c r="Y46" i="7"/>
  <c r="Y26" i="7"/>
  <c r="Y20" i="7"/>
  <c r="Y10" i="7"/>
  <c r="AB10" i="7" s="1"/>
  <c r="Y17" i="7"/>
  <c r="Y5" i="7"/>
  <c r="Y51" i="7"/>
  <c r="Y24" i="7"/>
  <c r="Y48" i="7"/>
  <c r="Y37" i="7"/>
  <c r="Y21" i="7"/>
  <c r="Y18" i="7"/>
  <c r="Y8" i="7"/>
  <c r="Y13" i="7"/>
  <c r="Y49" i="7"/>
  <c r="Y28" i="7"/>
  <c r="Y40" i="7"/>
  <c r="Y35" i="7"/>
  <c r="Y43" i="7"/>
  <c r="Y29" i="7"/>
  <c r="Y16" i="7"/>
  <c r="Y11" i="7"/>
  <c r="Y45" i="7"/>
  <c r="Y41" i="7"/>
  <c r="Y38" i="7"/>
  <c r="Y34" i="7"/>
  <c r="P48" i="9"/>
  <c r="P48" i="8"/>
  <c r="P48" i="28" s="1"/>
  <c r="P100" i="28" s="1"/>
  <c r="P43" i="9"/>
  <c r="P42" i="9"/>
  <c r="P9" i="9"/>
  <c r="P51" i="9"/>
  <c r="P8" i="9"/>
  <c r="P11" i="9"/>
  <c r="P46" i="9"/>
  <c r="P38" i="9"/>
  <c r="P53" i="7"/>
  <c r="P58" i="7" s="1"/>
  <c r="P5" i="9"/>
  <c r="AI18" i="9"/>
  <c r="AI8" i="9"/>
  <c r="AI51" i="9"/>
  <c r="AI10" i="9"/>
  <c r="AI44" i="9"/>
  <c r="AI40" i="9"/>
  <c r="AI42" i="9"/>
  <c r="AI28" i="9"/>
  <c r="AI27" i="9"/>
  <c r="AI12" i="9"/>
  <c r="AI47" i="9"/>
  <c r="AI21" i="9"/>
  <c r="S41" i="29"/>
  <c r="S83" i="29" s="1"/>
  <c r="U41" i="13"/>
  <c r="U41" i="12"/>
  <c r="U27" i="12"/>
  <c r="S27" i="29" s="1"/>
  <c r="S69" i="29" s="1"/>
  <c r="U27" i="13"/>
  <c r="U39" i="12"/>
  <c r="S39" i="29" s="1"/>
  <c r="S81" i="29" s="1"/>
  <c r="U39" i="13"/>
  <c r="U23" i="13"/>
  <c r="U23" i="12"/>
  <c r="S23" i="29" s="1"/>
  <c r="S65" i="29" s="1"/>
  <c r="S11" i="29"/>
  <c r="S53" i="29" s="1"/>
  <c r="U11" i="13"/>
  <c r="U11" i="12"/>
  <c r="S18" i="29"/>
  <c r="S60" i="29" s="1"/>
  <c r="U18" i="12"/>
  <c r="U18" i="13"/>
  <c r="U8" i="12"/>
  <c r="S8" i="29" s="1"/>
  <c r="S50" i="29" s="1"/>
  <c r="U8" i="13"/>
  <c r="U37" i="13"/>
  <c r="U37" i="12"/>
  <c r="S37" i="29" s="1"/>
  <c r="S79" i="29" s="1"/>
  <c r="S31" i="29"/>
  <c r="S73" i="29" s="1"/>
  <c r="U31" i="13"/>
  <c r="U31" i="12"/>
  <c r="R15" i="29"/>
  <c r="R57" i="29" s="1"/>
  <c r="R32" i="29"/>
  <c r="R74" i="29" s="1"/>
  <c r="X47" i="8"/>
  <c r="W47" i="28" s="1"/>
  <c r="W99" i="28" s="1"/>
  <c r="AC30" i="9"/>
  <c r="AD30" i="9" s="1"/>
  <c r="AD30" i="7"/>
  <c r="AD31" i="7"/>
  <c r="AC31" i="9"/>
  <c r="AD31" i="9" s="1"/>
  <c r="AC19" i="8"/>
  <c r="AD19" i="8" s="1"/>
  <c r="AC19" i="9"/>
  <c r="AD19" i="9" s="1"/>
  <c r="AD19" i="7"/>
  <c r="AD37" i="7"/>
  <c r="AC37" i="9"/>
  <c r="AD37" i="9" s="1"/>
  <c r="AA8" i="28"/>
  <c r="AA60" i="28" s="1"/>
  <c r="AC8" i="9"/>
  <c r="AD8" i="9" s="1"/>
  <c r="AC8" i="8"/>
  <c r="AD8" i="8" s="1"/>
  <c r="AD8" i="7"/>
  <c r="AC25" i="9"/>
  <c r="AD25" i="9" s="1"/>
  <c r="AD25" i="7"/>
  <c r="AD49" i="7"/>
  <c r="AC49" i="9"/>
  <c r="AD49" i="9" s="1"/>
  <c r="AC10" i="9"/>
  <c r="AD10" i="9" s="1"/>
  <c r="AD10" i="7"/>
  <c r="AD38" i="7"/>
  <c r="AC38" i="9"/>
  <c r="AD38" i="9" s="1"/>
  <c r="AA42" i="28"/>
  <c r="AA94" i="28" s="1"/>
  <c r="AC42" i="8"/>
  <c r="AD42" i="8" s="1"/>
  <c r="AC42" i="9"/>
  <c r="AD42" i="9" s="1"/>
  <c r="AD42" i="7"/>
  <c r="AD6" i="7"/>
  <c r="AC6" i="9"/>
  <c r="AD6" i="9" s="1"/>
  <c r="R27" i="29"/>
  <c r="R69" i="29" s="1"/>
  <c r="X45" i="8"/>
  <c r="W45" i="28" s="1"/>
  <c r="W97" i="28" s="1"/>
  <c r="X10" i="8"/>
  <c r="W10" i="28" s="1"/>
  <c r="W62" i="28" s="1"/>
  <c r="X7" i="8"/>
  <c r="W7" i="28" s="1"/>
  <c r="W59" i="28" s="1"/>
  <c r="W7" i="9"/>
  <c r="W36" i="9"/>
  <c r="W34" i="9"/>
  <c r="W53" i="7"/>
  <c r="W58" i="7" s="1"/>
  <c r="W13" i="8" s="1"/>
  <c r="V13" i="28" s="1"/>
  <c r="V65" i="28" s="1"/>
  <c r="W5" i="9"/>
  <c r="W30" i="9"/>
  <c r="W39" i="8"/>
  <c r="V39" i="28" s="1"/>
  <c r="V91" i="28" s="1"/>
  <c r="W39" i="9"/>
  <c r="W29" i="8"/>
  <c r="W29" i="9"/>
  <c r="V29" i="28" s="1"/>
  <c r="V81" i="28" s="1"/>
  <c r="W6" i="9"/>
  <c r="W41" i="9"/>
  <c r="W37" i="9"/>
  <c r="W8" i="9"/>
  <c r="W43" i="9"/>
  <c r="O30" i="9"/>
  <c r="O23" i="9"/>
  <c r="O7" i="9"/>
  <c r="O50" i="9"/>
  <c r="O48" i="9"/>
  <c r="O9" i="9"/>
  <c r="O49" i="9"/>
  <c r="O32" i="9"/>
  <c r="O11" i="9"/>
  <c r="O46" i="9"/>
  <c r="O38" i="9"/>
  <c r="O13" i="9"/>
  <c r="L30" i="9"/>
  <c r="L27" i="9"/>
  <c r="L25" i="9"/>
  <c r="L44" i="9"/>
  <c r="L17" i="9"/>
  <c r="L19" i="9"/>
  <c r="L21" i="9"/>
  <c r="L11" i="9"/>
  <c r="L18" i="9"/>
  <c r="L10" i="9"/>
  <c r="L13" i="9"/>
  <c r="L33" i="9"/>
  <c r="M32" i="7"/>
  <c r="M49" i="7"/>
  <c r="M25" i="7"/>
  <c r="M21" i="7"/>
  <c r="M18" i="7"/>
  <c r="M35" i="7"/>
  <c r="M23" i="7"/>
  <c r="M5" i="7"/>
  <c r="M12" i="7"/>
  <c r="M11" i="7"/>
  <c r="M43" i="7"/>
  <c r="M7" i="7"/>
  <c r="M34" i="7"/>
  <c r="M29" i="7"/>
  <c r="M40" i="7"/>
  <c r="M17" i="7"/>
  <c r="M36" i="7"/>
  <c r="M14" i="7"/>
  <c r="M20" i="7"/>
  <c r="M28" i="7"/>
  <c r="M48" i="7"/>
  <c r="M9" i="7"/>
  <c r="M38" i="7"/>
  <c r="M37" i="7"/>
  <c r="M19" i="7"/>
  <c r="M30" i="7"/>
  <c r="M41" i="7"/>
  <c r="M8" i="7"/>
  <c r="M16" i="7"/>
  <c r="M24" i="7"/>
  <c r="M47" i="7"/>
  <c r="M45" i="7"/>
  <c r="M51" i="7"/>
  <c r="M6" i="7"/>
  <c r="M31" i="7"/>
  <c r="M33" i="7"/>
  <c r="M39" i="7"/>
  <c r="M15" i="7"/>
  <c r="M44" i="7"/>
  <c r="M27" i="7"/>
  <c r="M10" i="7"/>
  <c r="M46" i="7"/>
  <c r="M13" i="7"/>
  <c r="M22" i="7"/>
  <c r="M42" i="7"/>
  <c r="R10" i="29"/>
  <c r="R52" i="29" s="1"/>
  <c r="X50" i="8"/>
  <c r="W50" i="28" s="1"/>
  <c r="W102" i="28" s="1"/>
  <c r="X33" i="8"/>
  <c r="W33" i="28" s="1"/>
  <c r="W85" i="28" s="1"/>
  <c r="X25" i="8"/>
  <c r="W25" i="28" s="1"/>
  <c r="W77" i="28" s="1"/>
  <c r="R37" i="9"/>
  <c r="R30" i="9"/>
  <c r="R18" i="9"/>
  <c r="R43" i="9"/>
  <c r="R20" i="9"/>
  <c r="R25" i="9"/>
  <c r="R39" i="9"/>
  <c r="R8" i="9"/>
  <c r="AH38" i="9"/>
  <c r="AH38" i="8"/>
  <c r="AD38" i="28" s="1"/>
  <c r="AD90" i="28" s="1"/>
  <c r="AH28" i="8"/>
  <c r="AH28" i="9"/>
  <c r="AD28" i="28" s="1"/>
  <c r="AD80" i="28" s="1"/>
  <c r="AD9" i="28"/>
  <c r="AD61" i="28" s="1"/>
  <c r="AH9" i="9"/>
  <c r="AH9" i="8"/>
  <c r="AD37" i="28"/>
  <c r="AD89" i="28" s="1"/>
  <c r="AH37" i="9"/>
  <c r="AH37" i="8"/>
  <c r="AH27" i="9"/>
  <c r="AD11" i="28"/>
  <c r="AD63" i="28" s="1"/>
  <c r="AH11" i="8"/>
  <c r="AH11" i="9"/>
  <c r="AD48" i="28"/>
  <c r="AD100" i="28" s="1"/>
  <c r="AH48" i="8"/>
  <c r="AH48" i="9"/>
  <c r="AH26" i="9"/>
  <c r="AD13" i="28"/>
  <c r="AD65" i="28" s="1"/>
  <c r="AH13" i="8"/>
  <c r="AH13" i="9"/>
  <c r="AH47" i="9"/>
  <c r="AH43" i="9"/>
  <c r="AH43" i="8"/>
  <c r="AD43" i="28" s="1"/>
  <c r="AD95" i="28" s="1"/>
  <c r="AD15" i="28"/>
  <c r="AD67" i="28" s="1"/>
  <c r="AH15" i="9"/>
  <c r="AH15" i="8"/>
  <c r="Q42" i="28"/>
  <c r="Q94" i="28" s="1"/>
  <c r="Q42" i="9"/>
  <c r="Q42" i="8"/>
  <c r="Q30" i="8"/>
  <c r="Q30" i="28" s="1"/>
  <c r="Q82" i="28" s="1"/>
  <c r="Q30" i="9"/>
  <c r="Q23" i="9"/>
  <c r="Q19" i="9"/>
  <c r="Q6" i="9"/>
  <c r="Q6" i="8"/>
  <c r="Q6" i="28" s="1"/>
  <c r="Q58" i="28" s="1"/>
  <c r="Q27" i="9"/>
  <c r="Q44" i="9"/>
  <c r="Q8" i="28"/>
  <c r="Q60" i="28" s="1"/>
  <c r="Q8" i="9"/>
  <c r="Q8" i="8"/>
  <c r="Q51" i="9"/>
  <c r="Q32" i="8"/>
  <c r="Q32" i="9"/>
  <c r="Q32" i="28" s="1"/>
  <c r="Q84" i="28" s="1"/>
  <c r="Q10" i="28"/>
  <c r="Q62" i="28" s="1"/>
  <c r="Q10" i="8"/>
  <c r="Q10" i="9"/>
  <c r="M36" i="11"/>
  <c r="M40" i="11"/>
  <c r="M24" i="11"/>
  <c r="M26" i="11"/>
  <c r="M15" i="11"/>
  <c r="M7" i="11"/>
  <c r="M20" i="11"/>
  <c r="M30" i="11"/>
  <c r="M29" i="11"/>
  <c r="M14" i="11"/>
  <c r="M13" i="11"/>
  <c r="M25" i="11"/>
  <c r="M22" i="11"/>
  <c r="M10" i="11"/>
  <c r="M6" i="11"/>
  <c r="M34" i="11"/>
  <c r="M17" i="11"/>
  <c r="M31" i="11"/>
  <c r="M28" i="11"/>
  <c r="M39" i="11"/>
  <c r="M23" i="11"/>
  <c r="M21" i="11"/>
  <c r="M9" i="11"/>
  <c r="M5" i="11"/>
  <c r="M35" i="11"/>
  <c r="M18" i="11"/>
  <c r="M16" i="11"/>
  <c r="M27" i="11"/>
  <c r="M38" i="11"/>
  <c r="M37" i="11"/>
  <c r="M33" i="11"/>
  <c r="M8" i="11"/>
  <c r="M32" i="11"/>
  <c r="M19" i="11"/>
  <c r="M41" i="11"/>
  <c r="M12" i="11"/>
  <c r="M11" i="11"/>
  <c r="R40" i="29"/>
  <c r="R82" i="29" s="1"/>
  <c r="R31" i="29"/>
  <c r="R73" i="29" s="1"/>
  <c r="N39" i="29"/>
  <c r="N81" i="29" s="1"/>
  <c r="N37" i="29"/>
  <c r="N79" i="29" s="1"/>
  <c r="Q41" i="29"/>
  <c r="Q83" i="29" s="1"/>
  <c r="Q16" i="29"/>
  <c r="Q58" i="29" s="1"/>
  <c r="V15" i="29"/>
  <c r="V57" i="29" s="1"/>
  <c r="V11" i="29"/>
  <c r="V53" i="29" s="1"/>
  <c r="V34" i="29"/>
  <c r="V76" i="29" s="1"/>
  <c r="Q33" i="29"/>
  <c r="Q75" i="29" s="1"/>
  <c r="V8" i="29"/>
  <c r="V50" i="29" s="1"/>
  <c r="M50" i="7"/>
  <c r="Q23" i="29"/>
  <c r="Q65" i="29" s="1"/>
  <c r="V17" i="29"/>
  <c r="V59" i="29" s="1"/>
  <c r="Q10" i="29"/>
  <c r="Q52" i="29" s="1"/>
  <c r="Q24" i="29"/>
  <c r="Q66" i="29" s="1"/>
  <c r="Q27" i="29"/>
  <c r="Q69" i="29" s="1"/>
  <c r="Q25" i="29"/>
  <c r="Q67" i="29" s="1"/>
  <c r="V26" i="29"/>
  <c r="V68" i="29" s="1"/>
  <c r="V14" i="29"/>
  <c r="V56" i="29" s="1"/>
  <c r="V20" i="29"/>
  <c r="V62" i="29" s="1"/>
  <c r="V33" i="29"/>
  <c r="V75" i="29" s="1"/>
  <c r="U17" i="9"/>
  <c r="U20" i="9"/>
  <c r="U51" i="9"/>
  <c r="U21" i="9"/>
  <c r="U22" i="9"/>
  <c r="U50" i="8"/>
  <c r="U50" i="9"/>
  <c r="T50" i="28" s="1"/>
  <c r="T102" i="28" s="1"/>
  <c r="U19" i="9"/>
  <c r="U24" i="9"/>
  <c r="T33" i="28"/>
  <c r="T85" i="28" s="1"/>
  <c r="U33" i="8"/>
  <c r="U33" i="9"/>
  <c r="AB33" i="7"/>
  <c r="U6" i="9"/>
  <c r="U43" i="9"/>
  <c r="Y54" i="9"/>
  <c r="Y54" i="8"/>
  <c r="Y58" i="8" s="1"/>
  <c r="Y54" i="7"/>
  <c r="P44" i="9"/>
  <c r="P34" i="9"/>
  <c r="P34" i="8"/>
  <c r="P34" i="28" s="1"/>
  <c r="P86" i="28" s="1"/>
  <c r="P7" i="9"/>
  <c r="P37" i="9"/>
  <c r="P10" i="28"/>
  <c r="P62" i="28" s="1"/>
  <c r="P10" i="9"/>
  <c r="P10" i="8"/>
  <c r="P15" i="28"/>
  <c r="P67" i="28" s="1"/>
  <c r="P15" i="8"/>
  <c r="P15" i="9"/>
  <c r="P45" i="9"/>
  <c r="P12" i="28"/>
  <c r="P64" i="28" s="1"/>
  <c r="P12" i="8"/>
  <c r="P12" i="9"/>
  <c r="P17" i="9"/>
  <c r="P40" i="9"/>
  <c r="P30" i="9"/>
  <c r="P13" i="8"/>
  <c r="P13" i="9"/>
  <c r="P13" i="28" s="1"/>
  <c r="P65" i="28" s="1"/>
  <c r="AI9" i="9"/>
  <c r="AI14" i="9"/>
  <c r="AI38" i="9"/>
  <c r="AI16" i="9"/>
  <c r="AI15" i="9"/>
  <c r="AI37" i="9"/>
  <c r="AI6" i="9"/>
  <c r="AI7" i="9"/>
  <c r="AI36" i="9"/>
  <c r="AI5" i="9"/>
  <c r="AI53" i="9" s="1"/>
  <c r="AI53" i="7"/>
  <c r="AI58" i="7" s="1"/>
  <c r="AI30" i="9"/>
  <c r="AI35" i="9"/>
  <c r="U34" i="12"/>
  <c r="U34" i="13"/>
  <c r="S34" i="29" s="1"/>
  <c r="S76" i="29" s="1"/>
  <c r="S12" i="29"/>
  <c r="S54" i="29" s="1"/>
  <c r="U12" i="12"/>
  <c r="U12" i="13"/>
  <c r="S28" i="29"/>
  <c r="S70" i="29" s="1"/>
  <c r="U28" i="12"/>
  <c r="U28" i="13"/>
  <c r="U24" i="12"/>
  <c r="S24" i="29" s="1"/>
  <c r="S66" i="29" s="1"/>
  <c r="U24" i="13"/>
  <c r="U40" i="12"/>
  <c r="U40" i="13"/>
  <c r="S40" i="29" s="1"/>
  <c r="S82" i="29" s="1"/>
  <c r="S22" i="29"/>
  <c r="S64" i="29" s="1"/>
  <c r="U22" i="12"/>
  <c r="U22" i="13"/>
  <c r="S14" i="29"/>
  <c r="S56" i="29" s="1"/>
  <c r="U14" i="13"/>
  <c r="U14" i="12"/>
  <c r="U32" i="12"/>
  <c r="S32" i="29" s="1"/>
  <c r="S74" i="29" s="1"/>
  <c r="U32" i="13"/>
  <c r="U36" i="13"/>
  <c r="W36" i="11"/>
  <c r="U36" i="12"/>
  <c r="R41" i="29"/>
  <c r="R83" i="29" s="1"/>
  <c r="R20" i="29"/>
  <c r="R62" i="29" s="1"/>
  <c r="X34" i="8"/>
  <c r="W34" i="28" s="1"/>
  <c r="W86" i="28" s="1"/>
  <c r="X14" i="8"/>
  <c r="W14" i="28" s="1"/>
  <c r="W66" i="28" s="1"/>
  <c r="X11" i="8"/>
  <c r="W11" i="28" s="1"/>
  <c r="W63" i="28" s="1"/>
  <c r="AD40" i="7"/>
  <c r="AC40" i="9"/>
  <c r="AD40" i="9" s="1"/>
  <c r="AC29" i="9"/>
  <c r="AD29" i="9" s="1"/>
  <c r="AD29" i="7"/>
  <c r="AC29" i="8"/>
  <c r="AD29" i="8" s="1"/>
  <c r="AD14" i="7"/>
  <c r="AC14" i="9"/>
  <c r="AD14" i="9" s="1"/>
  <c r="AD35" i="7"/>
  <c r="AC35" i="9"/>
  <c r="AD35" i="9" s="1"/>
  <c r="AA48" i="28"/>
  <c r="AA100" i="28" s="1"/>
  <c r="AC48" i="9"/>
  <c r="AD48" i="9" s="1"/>
  <c r="AD48" i="7"/>
  <c r="AC48" i="8"/>
  <c r="AD48" i="8" s="1"/>
  <c r="AD16" i="7"/>
  <c r="AC16" i="9"/>
  <c r="AD16" i="9" s="1"/>
  <c r="AC22" i="8"/>
  <c r="AD22" i="8" s="1"/>
  <c r="AC22" i="9"/>
  <c r="AD22" i="9" s="1"/>
  <c r="AD22" i="7"/>
  <c r="AD46" i="7"/>
  <c r="AC46" i="9"/>
  <c r="AD46" i="9" s="1"/>
  <c r="AD18" i="7"/>
  <c r="AC18" i="9"/>
  <c r="AD18" i="9" s="1"/>
  <c r="AD28" i="7"/>
  <c r="AC28" i="9"/>
  <c r="AD28" i="9" s="1"/>
  <c r="AD43" i="7"/>
  <c r="AC43" i="9"/>
  <c r="AD43" i="9" s="1"/>
  <c r="AC20" i="9"/>
  <c r="AD20" i="9" s="1"/>
  <c r="AD20" i="7"/>
  <c r="R26" i="29"/>
  <c r="R68" i="29" s="1"/>
  <c r="X43" i="8"/>
  <c r="W43" i="28" s="1"/>
  <c r="W95" i="28" s="1"/>
  <c r="X8" i="8"/>
  <c r="W8" i="28" s="1"/>
  <c r="W60" i="28" s="1"/>
  <c r="X5" i="8"/>
  <c r="W32" i="8"/>
  <c r="W32" i="9"/>
  <c r="V32" i="28" s="1"/>
  <c r="V84" i="28" s="1"/>
  <c r="V35" i="28"/>
  <c r="V87" i="28" s="1"/>
  <c r="W35" i="9"/>
  <c r="W35" i="8"/>
  <c r="W45" i="9"/>
  <c r="W33" i="9"/>
  <c r="V10" i="28"/>
  <c r="V62" i="28" s="1"/>
  <c r="W10" i="8"/>
  <c r="W10" i="9"/>
  <c r="W47" i="9"/>
  <c r="W9" i="9"/>
  <c r="W12" i="9"/>
  <c r="W49" i="9"/>
  <c r="W11" i="9"/>
  <c r="W31" i="9"/>
  <c r="W51" i="9"/>
  <c r="O35" i="9"/>
  <c r="O37" i="9"/>
  <c r="O15" i="28"/>
  <c r="O67" i="28" s="1"/>
  <c r="O15" i="9"/>
  <c r="O15" i="8"/>
  <c r="O42" i="9"/>
  <c r="O41" i="9"/>
  <c r="O17" i="9"/>
  <c r="O29" i="9"/>
  <c r="O36" i="9"/>
  <c r="O19" i="9"/>
  <c r="O22" i="9"/>
  <c r="O10" i="9"/>
  <c r="O25" i="9"/>
  <c r="L43" i="9"/>
  <c r="L51" i="9"/>
  <c r="L48" i="9"/>
  <c r="L15" i="9"/>
  <c r="L38" i="9"/>
  <c r="L20" i="9"/>
  <c r="L8" i="9"/>
  <c r="L46" i="9"/>
  <c r="L26" i="9"/>
  <c r="L31" i="9"/>
  <c r="L29" i="9"/>
  <c r="S53" i="7"/>
  <c r="X6" i="30"/>
  <c r="V15" i="11"/>
  <c r="V6" i="11"/>
  <c r="V14" i="11"/>
  <c r="V19" i="11"/>
  <c r="V17" i="11"/>
  <c r="V12" i="11"/>
  <c r="V24" i="11"/>
  <c r="V23" i="11"/>
  <c r="V21" i="11"/>
  <c r="V10" i="11"/>
  <c r="V8" i="11"/>
  <c r="V13" i="11"/>
  <c r="V26" i="11"/>
  <c r="V5" i="11"/>
  <c r="V7" i="11"/>
  <c r="V32" i="11"/>
  <c r="V18" i="11"/>
  <c r="V16" i="11"/>
  <c r="V11" i="11"/>
  <c r="V29" i="11"/>
  <c r="V41" i="11"/>
  <c r="V34" i="11"/>
  <c r="V22" i="11"/>
  <c r="V20" i="11"/>
  <c r="V31" i="11"/>
  <c r="V40" i="11"/>
  <c r="V33" i="11"/>
  <c r="V27" i="11"/>
  <c r="V38" i="11"/>
  <c r="V36" i="11"/>
  <c r="V39" i="11"/>
  <c r="V28" i="11"/>
  <c r="V37" i="11"/>
  <c r="V9" i="11"/>
  <c r="V30" i="11"/>
  <c r="V25" i="11"/>
  <c r="V35" i="11"/>
  <c r="X51" i="8"/>
  <c r="W51" i="28" s="1"/>
  <c r="W103" i="28" s="1"/>
  <c r="X48" i="8"/>
  <c r="W48" i="28" s="1"/>
  <c r="W100" i="28" s="1"/>
  <c r="R7" i="9"/>
  <c r="R47" i="9"/>
  <c r="R41" i="9"/>
  <c r="R35" i="9"/>
  <c r="R45" i="9"/>
  <c r="R42" i="9"/>
  <c r="R53" i="7"/>
  <c r="R5" i="9"/>
  <c r="R34" i="9"/>
  <c r="R16" i="9"/>
  <c r="R32" i="9"/>
  <c r="AH44" i="9"/>
  <c r="AD29" i="28"/>
  <c r="AD81" i="28" s="1"/>
  <c r="AH29" i="8"/>
  <c r="AH29" i="9"/>
  <c r="AH17" i="8"/>
  <c r="AD17" i="28" s="1"/>
  <c r="AD69" i="28" s="1"/>
  <c r="AH17" i="9"/>
  <c r="AH22" i="8"/>
  <c r="AH22" i="9"/>
  <c r="AD22" i="28" s="1"/>
  <c r="AD74" i="28" s="1"/>
  <c r="AD50" i="28"/>
  <c r="AD102" i="28" s="1"/>
  <c r="AH50" i="9"/>
  <c r="AH50" i="8"/>
  <c r="AD19" i="28"/>
  <c r="AD71" i="28" s="1"/>
  <c r="AH19" i="9"/>
  <c r="AH19" i="8"/>
  <c r="AH36" i="9"/>
  <c r="AD6" i="28"/>
  <c r="AD58" i="28" s="1"/>
  <c r="AH6" i="8"/>
  <c r="AH6" i="9"/>
  <c r="AD25" i="28"/>
  <c r="AD77" i="28" s="1"/>
  <c r="AH25" i="8"/>
  <c r="AH25" i="9"/>
  <c r="AH35" i="8"/>
  <c r="AD35" i="28" s="1"/>
  <c r="AD87" i="28" s="1"/>
  <c r="AH35" i="9"/>
  <c r="AH8" i="9"/>
  <c r="AH8" i="8"/>
  <c r="AD8" i="28" s="1"/>
  <c r="AD60" i="28" s="1"/>
  <c r="Q40" i="28"/>
  <c r="Q92" i="28" s="1"/>
  <c r="Q40" i="9"/>
  <c r="Q40" i="8"/>
  <c r="Q25" i="28"/>
  <c r="Q77" i="28" s="1"/>
  <c r="Q25" i="9"/>
  <c r="Q25" i="8"/>
  <c r="Q14" i="9"/>
  <c r="Q38" i="28"/>
  <c r="Q90" i="28" s="1"/>
  <c r="Q38" i="8"/>
  <c r="Q38" i="9"/>
  <c r="Q48" i="28"/>
  <c r="Q100" i="28" s="1"/>
  <c r="Q48" i="8"/>
  <c r="Q48" i="9"/>
  <c r="Q16" i="9"/>
  <c r="Q50" i="9"/>
  <c r="Q20" i="8"/>
  <c r="Q20" i="28" s="1"/>
  <c r="Q72" i="28" s="1"/>
  <c r="Q20" i="9"/>
  <c r="Q22" i="8"/>
  <c r="Q22" i="9"/>
  <c r="Q22" i="28" s="1"/>
  <c r="Q74" i="28" s="1"/>
  <c r="Q46" i="28"/>
  <c r="Q98" i="28" s="1"/>
  <c r="Q46" i="9"/>
  <c r="Q46" i="8"/>
  <c r="Q49" i="28"/>
  <c r="Q101" i="28" s="1"/>
  <c r="Q49" i="8"/>
  <c r="Q49" i="9"/>
  <c r="Q24" i="9"/>
  <c r="Y5" i="28"/>
  <c r="Y57" i="28" s="1"/>
  <c r="Z53" i="8"/>
  <c r="P15" i="11"/>
  <c r="P7" i="11"/>
  <c r="P20" i="11"/>
  <c r="P27" i="11"/>
  <c r="P21" i="11"/>
  <c r="P29" i="11"/>
  <c r="P25" i="11"/>
  <c r="P37" i="11"/>
  <c r="P34" i="11"/>
  <c r="P31" i="11"/>
  <c r="P10" i="11"/>
  <c r="P6" i="11"/>
  <c r="P32" i="11"/>
  <c r="P16" i="11"/>
  <c r="P13" i="11"/>
  <c r="P30" i="11"/>
  <c r="P38" i="11"/>
  <c r="P11" i="11"/>
  <c r="P23" i="11"/>
  <c r="P9" i="11"/>
  <c r="P5" i="11"/>
  <c r="P14" i="11"/>
  <c r="P17" i="11"/>
  <c r="P39" i="11"/>
  <c r="P22" i="11"/>
  <c r="P35" i="11"/>
  <c r="P26" i="11"/>
  <c r="P12" i="11"/>
  <c r="P8" i="11"/>
  <c r="P33" i="11"/>
  <c r="P19" i="11"/>
  <c r="P18" i="11"/>
  <c r="P28" i="11"/>
  <c r="P24" i="11"/>
  <c r="P36" i="11"/>
  <c r="P40" i="11"/>
  <c r="P41" i="11"/>
  <c r="R37" i="29"/>
  <c r="R79" i="29" s="1"/>
  <c r="R18" i="29"/>
  <c r="R60" i="29" s="1"/>
  <c r="W18" i="11"/>
  <c r="N31" i="29"/>
  <c r="N73" i="29" s="1"/>
  <c r="N28" i="29"/>
  <c r="N70" i="29" s="1"/>
  <c r="Q18" i="29"/>
  <c r="Q60" i="29" s="1"/>
  <c r="Q36" i="29"/>
  <c r="Q78" i="29" s="1"/>
  <c r="V7" i="29"/>
  <c r="V49" i="29" s="1"/>
  <c r="V32" i="29"/>
  <c r="V74" i="29" s="1"/>
  <c r="V35" i="29"/>
  <c r="V77" i="29" s="1"/>
  <c r="W33" i="11"/>
  <c r="Q7" i="29"/>
  <c r="Q49" i="29" s="1"/>
  <c r="Q32" i="29"/>
  <c r="Q74" i="29" s="1"/>
  <c r="V38" i="29"/>
  <c r="V80" i="29" s="1"/>
  <c r="V21" i="29"/>
  <c r="V63" i="29" s="1"/>
  <c r="Q15" i="29"/>
  <c r="Q57" i="29" s="1"/>
  <c r="Q6" i="29"/>
  <c r="Q48" i="29" s="1"/>
  <c r="G7" i="31" s="1"/>
  <c r="G13" i="31" s="1"/>
  <c r="Q34" i="29"/>
  <c r="Q76" i="29" s="1"/>
  <c r="Q35" i="29"/>
  <c r="Q77" i="29" s="1"/>
  <c r="Q12" i="29"/>
  <c r="Q54" i="29" s="1"/>
  <c r="V10" i="29"/>
  <c r="V52" i="29" s="1"/>
  <c r="V12" i="29"/>
  <c r="V54" i="29" s="1"/>
  <c r="V24" i="29"/>
  <c r="V66" i="29" s="1"/>
  <c r="V16" i="29"/>
  <c r="V58" i="29" s="1"/>
  <c r="V18" i="29"/>
  <c r="V60" i="29" s="1"/>
  <c r="F35" i="5"/>
  <c r="L46" i="11"/>
  <c r="L46" i="10"/>
  <c r="L46" i="13"/>
  <c r="L46" i="12"/>
  <c r="E35" i="5"/>
  <c r="L45" i="13"/>
  <c r="L45" i="12"/>
  <c r="L45" i="11"/>
  <c r="L45" i="10"/>
  <c r="L48" i="10"/>
  <c r="N43" i="12"/>
  <c r="AA5" i="13"/>
  <c r="AA43" i="13" s="1"/>
  <c r="Z43" i="13"/>
  <c r="AB44" i="13"/>
  <c r="AB44" i="12"/>
  <c r="X48" i="12" s="1"/>
  <c r="AB44" i="10"/>
  <c r="AB44" i="11"/>
  <c r="T54" i="8"/>
  <c r="T54" i="9"/>
  <c r="T54" i="7"/>
  <c r="N55" i="9"/>
  <c r="N55" i="8"/>
  <c r="N55" i="7"/>
  <c r="N56" i="9"/>
  <c r="N56" i="8"/>
  <c r="N56" i="7"/>
  <c r="R43" i="13"/>
  <c r="S5" i="13"/>
  <c r="S43" i="13" s="1"/>
  <c r="AA5" i="12"/>
  <c r="AA43" i="12" s="1"/>
  <c r="Z43" i="12"/>
  <c r="T43" i="13"/>
  <c r="S43" i="11"/>
  <c r="N43" i="13"/>
  <c r="AA43" i="11"/>
  <c r="S5" i="12"/>
  <c r="S43" i="12" s="1"/>
  <c r="R43" i="12"/>
  <c r="T43" i="12"/>
  <c r="E10" i="5"/>
  <c r="N57" i="6"/>
  <c r="F10" i="5"/>
  <c r="F47" i="5" s="1"/>
  <c r="N58" i="6"/>
  <c r="D29" i="5"/>
  <c r="D47" i="5"/>
  <c r="AD23" i="8" l="1"/>
  <c r="AA23" i="28"/>
  <c r="AA75" i="28" s="1"/>
  <c r="W17" i="12"/>
  <c r="W26" i="13"/>
  <c r="F29" i="5"/>
  <c r="P40" i="12"/>
  <c r="P40" i="29" s="1"/>
  <c r="P82" i="29" s="1"/>
  <c r="P40" i="13"/>
  <c r="P18" i="29"/>
  <c r="P60" i="29" s="1"/>
  <c r="P18" i="12"/>
  <c r="P18" i="13"/>
  <c r="P12" i="12"/>
  <c r="P12" i="29" s="1"/>
  <c r="P54" i="29" s="1"/>
  <c r="P12" i="13"/>
  <c r="P39" i="12"/>
  <c r="P39" i="29" s="1"/>
  <c r="P81" i="29" s="1"/>
  <c r="P39" i="13"/>
  <c r="P9" i="12"/>
  <c r="P9" i="29" s="1"/>
  <c r="P51" i="29" s="1"/>
  <c r="P9" i="13"/>
  <c r="P30" i="29"/>
  <c r="P72" i="29" s="1"/>
  <c r="P30" i="12"/>
  <c r="P30" i="13"/>
  <c r="P6" i="12"/>
  <c r="P6" i="29" s="1"/>
  <c r="P48" i="29" s="1"/>
  <c r="P6" i="13"/>
  <c r="P37" i="12"/>
  <c r="P37" i="29" s="1"/>
  <c r="P79" i="29" s="1"/>
  <c r="P37" i="13"/>
  <c r="P27" i="13"/>
  <c r="P27" i="12"/>
  <c r="P27" i="29" s="1"/>
  <c r="P69" i="29" s="1"/>
  <c r="S58" i="7"/>
  <c r="R58" i="7"/>
  <c r="W35" i="11"/>
  <c r="V35" i="12"/>
  <c r="W35" i="12" s="1"/>
  <c r="V35" i="13"/>
  <c r="W35" i="13" s="1"/>
  <c r="V37" i="13"/>
  <c r="W37" i="13" s="1"/>
  <c r="V37" i="12"/>
  <c r="W37" i="12" s="1"/>
  <c r="W37" i="11"/>
  <c r="W38" i="11"/>
  <c r="V38" i="12"/>
  <c r="W38" i="12" s="1"/>
  <c r="V38" i="13"/>
  <c r="W38" i="13" s="1"/>
  <c r="W31" i="11"/>
  <c r="V31" i="12"/>
  <c r="W31" i="12" s="1"/>
  <c r="V31" i="13"/>
  <c r="W31" i="13" s="1"/>
  <c r="V41" i="12"/>
  <c r="W41" i="12" s="1"/>
  <c r="V41" i="13"/>
  <c r="W41" i="13" s="1"/>
  <c r="W41" i="11"/>
  <c r="V18" i="12"/>
  <c r="W18" i="12" s="1"/>
  <c r="V18" i="13"/>
  <c r="W18" i="13" s="1"/>
  <c r="V26" i="13"/>
  <c r="W26" i="11"/>
  <c r="V26" i="12"/>
  <c r="W26" i="12" s="1"/>
  <c r="W21" i="11"/>
  <c r="V21" i="12"/>
  <c r="W21" i="12" s="1"/>
  <c r="V21" i="13"/>
  <c r="W21" i="13" s="1"/>
  <c r="V17" i="12"/>
  <c r="T17" i="29" s="1"/>
  <c r="T59" i="29" s="1"/>
  <c r="V17" i="13"/>
  <c r="W17" i="13" s="1"/>
  <c r="W17" i="11"/>
  <c r="V15" i="12"/>
  <c r="W15" i="12" s="1"/>
  <c r="V15" i="13"/>
  <c r="W15" i="13" s="1"/>
  <c r="AA29" i="28"/>
  <c r="AA81" i="28" s="1"/>
  <c r="S36" i="29"/>
  <c r="S78" i="29" s="1"/>
  <c r="M41" i="13"/>
  <c r="M41" i="12"/>
  <c r="M41" i="29" s="1"/>
  <c r="M83" i="29" s="1"/>
  <c r="M33" i="12"/>
  <c r="M33" i="29" s="1"/>
  <c r="M75" i="29" s="1"/>
  <c r="M33" i="13"/>
  <c r="M16" i="29"/>
  <c r="M58" i="29" s="1"/>
  <c r="M16" i="13"/>
  <c r="M16" i="12"/>
  <c r="M9" i="13"/>
  <c r="M9" i="29" s="1"/>
  <c r="M51" i="29" s="1"/>
  <c r="M9" i="12"/>
  <c r="M28" i="12"/>
  <c r="M28" i="29" s="1"/>
  <c r="M70" i="29" s="1"/>
  <c r="M28" i="13"/>
  <c r="M6" i="13"/>
  <c r="M6" i="12"/>
  <c r="M6" i="29" s="1"/>
  <c r="M48" i="29" s="1"/>
  <c r="M13" i="29"/>
  <c r="M55" i="29" s="1"/>
  <c r="M13" i="12"/>
  <c r="M13" i="13"/>
  <c r="M20" i="13"/>
  <c r="M20" i="29" s="1"/>
  <c r="M62" i="29" s="1"/>
  <c r="M20" i="12"/>
  <c r="M24" i="12"/>
  <c r="M24" i="29" s="1"/>
  <c r="M66" i="29" s="1"/>
  <c r="M24" i="13"/>
  <c r="M42" i="9"/>
  <c r="M10" i="9"/>
  <c r="M39" i="9"/>
  <c r="M51" i="9"/>
  <c r="M16" i="9"/>
  <c r="M19" i="9"/>
  <c r="M48" i="9"/>
  <c r="M36" i="9"/>
  <c r="M34" i="9"/>
  <c r="M12" i="9"/>
  <c r="M18" i="9"/>
  <c r="M32" i="9"/>
  <c r="AA19" i="28"/>
  <c r="AA71" i="28" s="1"/>
  <c r="P22" i="8"/>
  <c r="P31" i="8"/>
  <c r="P31" i="28" s="1"/>
  <c r="P83" i="28" s="1"/>
  <c r="P26" i="8"/>
  <c r="P24" i="8"/>
  <c r="P8" i="8"/>
  <c r="P8" i="28" s="1"/>
  <c r="P60" i="28" s="1"/>
  <c r="P17" i="8"/>
  <c r="P17" i="28" s="1"/>
  <c r="P69" i="28" s="1"/>
  <c r="P30" i="8"/>
  <c r="P30" i="28" s="1"/>
  <c r="P82" i="28" s="1"/>
  <c r="P19" i="8"/>
  <c r="P9" i="8"/>
  <c r="P9" i="28" s="1"/>
  <c r="P61" i="28" s="1"/>
  <c r="P27" i="8"/>
  <c r="P42" i="8"/>
  <c r="P42" i="28" s="1"/>
  <c r="P94" i="28" s="1"/>
  <c r="P20" i="8"/>
  <c r="P20" i="28" s="1"/>
  <c r="P72" i="28" s="1"/>
  <c r="P50" i="8"/>
  <c r="P50" i="28" s="1"/>
  <c r="P102" i="28" s="1"/>
  <c r="P38" i="8"/>
  <c r="P38" i="28" s="1"/>
  <c r="P90" i="28" s="1"/>
  <c r="P40" i="8"/>
  <c r="P40" i="28" s="1"/>
  <c r="P92" i="28" s="1"/>
  <c r="P23" i="8"/>
  <c r="P5" i="8"/>
  <c r="P5" i="28" s="1"/>
  <c r="P57" i="28" s="1"/>
  <c r="P45" i="8"/>
  <c r="P45" i="28" s="1"/>
  <c r="P97" i="28" s="1"/>
  <c r="P6" i="8"/>
  <c r="P6" i="28" s="1"/>
  <c r="P58" i="28" s="1"/>
  <c r="P32" i="8"/>
  <c r="P32" i="28" s="1"/>
  <c r="P84" i="28" s="1"/>
  <c r="P29" i="8"/>
  <c r="P37" i="8"/>
  <c r="P37" i="28" s="1"/>
  <c r="P89" i="28" s="1"/>
  <c r="P39" i="8"/>
  <c r="P39" i="28" s="1"/>
  <c r="P91" i="28" s="1"/>
  <c r="P7" i="8"/>
  <c r="P7" i="28" s="1"/>
  <c r="P59" i="28" s="1"/>
  <c r="P44" i="8"/>
  <c r="P44" i="28" s="1"/>
  <c r="P96" i="28" s="1"/>
  <c r="P51" i="8"/>
  <c r="P51" i="28" s="1"/>
  <c r="P103" i="28" s="1"/>
  <c r="P21" i="8"/>
  <c r="P46" i="8"/>
  <c r="P46" i="28" s="1"/>
  <c r="P98" i="28" s="1"/>
  <c r="Y34" i="9"/>
  <c r="Y11" i="9"/>
  <c r="AB35" i="7"/>
  <c r="Y35" i="9"/>
  <c r="AB13" i="7"/>
  <c r="Y13" i="9"/>
  <c r="Y37" i="9"/>
  <c r="Y5" i="9"/>
  <c r="Y53" i="7"/>
  <c r="Y58" i="7" s="1"/>
  <c r="Y26" i="9"/>
  <c r="Y22" i="9"/>
  <c r="Y12" i="9"/>
  <c r="Y31" i="9"/>
  <c r="Y36" i="9"/>
  <c r="Y15" i="9"/>
  <c r="U14" i="8"/>
  <c r="T14" i="28" s="1"/>
  <c r="T66" i="28" s="1"/>
  <c r="U13" i="8"/>
  <c r="T13" i="28" s="1"/>
  <c r="T65" i="28" s="1"/>
  <c r="U41" i="8"/>
  <c r="T41" i="28" s="1"/>
  <c r="T93" i="28" s="1"/>
  <c r="U34" i="8"/>
  <c r="T34" i="28" s="1"/>
  <c r="T86" i="28" s="1"/>
  <c r="U37" i="8"/>
  <c r="U7" i="8"/>
  <c r="U19" i="8"/>
  <c r="U29" i="8"/>
  <c r="T29" i="28" s="1"/>
  <c r="T81" i="28" s="1"/>
  <c r="U46" i="8"/>
  <c r="T46" i="28" s="1"/>
  <c r="T98" i="28" s="1"/>
  <c r="U44" i="8"/>
  <c r="T44" i="28" s="1"/>
  <c r="T96" i="28" s="1"/>
  <c r="U6" i="8"/>
  <c r="T6" i="28" s="1"/>
  <c r="T58" i="28" s="1"/>
  <c r="U5" i="8"/>
  <c r="U25" i="8"/>
  <c r="T25" i="28" s="1"/>
  <c r="T77" i="28" s="1"/>
  <c r="U47" i="8"/>
  <c r="T47" i="28" s="1"/>
  <c r="T99" i="28" s="1"/>
  <c r="U51" i="8"/>
  <c r="T51" i="28" s="1"/>
  <c r="T103" i="28" s="1"/>
  <c r="U38" i="8"/>
  <c r="U20" i="8"/>
  <c r="T20" i="28" s="1"/>
  <c r="T72" i="28" s="1"/>
  <c r="U17" i="8"/>
  <c r="T17" i="28" s="1"/>
  <c r="T69" i="28" s="1"/>
  <c r="U24" i="8"/>
  <c r="T24" i="28" s="1"/>
  <c r="T76" i="28" s="1"/>
  <c r="U40" i="8"/>
  <c r="T40" i="28" s="1"/>
  <c r="T92" i="28" s="1"/>
  <c r="U23" i="8"/>
  <c r="T23" i="28" s="1"/>
  <c r="T75" i="28" s="1"/>
  <c r="U18" i="8"/>
  <c r="T18" i="28" s="1"/>
  <c r="T70" i="28" s="1"/>
  <c r="U42" i="8"/>
  <c r="U43" i="8"/>
  <c r="T43" i="28" s="1"/>
  <c r="T95" i="28" s="1"/>
  <c r="U36" i="8"/>
  <c r="T36" i="28" s="1"/>
  <c r="T88" i="28" s="1"/>
  <c r="U30" i="8"/>
  <c r="T30" i="28" s="1"/>
  <c r="T82" i="28" s="1"/>
  <c r="U26" i="8"/>
  <c r="T26" i="28" s="1"/>
  <c r="T78" i="28" s="1"/>
  <c r="U32" i="8"/>
  <c r="T32" i="28" s="1"/>
  <c r="T84" i="28" s="1"/>
  <c r="U48" i="8"/>
  <c r="U21" i="8"/>
  <c r="T21" i="28" s="1"/>
  <c r="T73" i="28" s="1"/>
  <c r="U45" i="8"/>
  <c r="U22" i="8"/>
  <c r="T22" i="28" s="1"/>
  <c r="T74" i="28" s="1"/>
  <c r="U15" i="8"/>
  <c r="T15" i="28" s="1"/>
  <c r="T67" i="28" s="1"/>
  <c r="U28" i="8"/>
  <c r="AH26" i="8"/>
  <c r="AD26" i="28" s="1"/>
  <c r="AD78" i="28" s="1"/>
  <c r="AH33" i="8"/>
  <c r="AD33" i="28" s="1"/>
  <c r="AD85" i="28" s="1"/>
  <c r="AH34" i="8"/>
  <c r="AD34" i="28" s="1"/>
  <c r="AD86" i="28" s="1"/>
  <c r="AH23" i="8"/>
  <c r="AD23" i="28" s="1"/>
  <c r="AD75" i="28" s="1"/>
  <c r="AH44" i="8"/>
  <c r="AD44" i="28" s="1"/>
  <c r="AD96" i="28" s="1"/>
  <c r="AH47" i="8"/>
  <c r="AD47" i="28" s="1"/>
  <c r="AD99" i="28" s="1"/>
  <c r="AH16" i="8"/>
  <c r="AD16" i="28" s="1"/>
  <c r="AD68" i="28" s="1"/>
  <c r="AH27" i="8"/>
  <c r="AD27" i="28" s="1"/>
  <c r="AD79" i="28" s="1"/>
  <c r="AH21" i="8"/>
  <c r="AD21" i="28" s="1"/>
  <c r="AD73" i="28" s="1"/>
  <c r="AH7" i="8"/>
  <c r="AD7" i="28" s="1"/>
  <c r="AD59" i="28" s="1"/>
  <c r="AH18" i="8"/>
  <c r="AD18" i="28" s="1"/>
  <c r="AD70" i="28" s="1"/>
  <c r="AH36" i="8"/>
  <c r="AD36" i="28" s="1"/>
  <c r="AD88" i="28" s="1"/>
  <c r="AH5" i="8"/>
  <c r="AH30" i="8"/>
  <c r="AD30" i="28" s="1"/>
  <c r="AD82" i="28" s="1"/>
  <c r="AH31" i="8"/>
  <c r="AD31" i="28" s="1"/>
  <c r="AD83" i="28" s="1"/>
  <c r="AH32" i="8"/>
  <c r="AD32" i="28" s="1"/>
  <c r="AD84" i="28" s="1"/>
  <c r="P9" i="30"/>
  <c r="P11" i="30"/>
  <c r="P7" i="30"/>
  <c r="L53" i="9"/>
  <c r="O46" i="8"/>
  <c r="O46" i="28" s="1"/>
  <c r="O98" i="28" s="1"/>
  <c r="O13" i="8"/>
  <c r="O13" i="28" s="1"/>
  <c r="O65" i="28" s="1"/>
  <c r="O10" i="8"/>
  <c r="O10" i="28" s="1"/>
  <c r="O62" i="28" s="1"/>
  <c r="O34" i="8"/>
  <c r="O34" i="28" s="1"/>
  <c r="O86" i="28" s="1"/>
  <c r="O44" i="8"/>
  <c r="O44" i="28" s="1"/>
  <c r="O96" i="28" s="1"/>
  <c r="O43" i="8"/>
  <c r="O43" i="28" s="1"/>
  <c r="O95" i="28" s="1"/>
  <c r="O21" i="8"/>
  <c r="O21" i="28" s="1"/>
  <c r="O73" i="28" s="1"/>
  <c r="O14" i="8"/>
  <c r="O14" i="28" s="1"/>
  <c r="O66" i="28" s="1"/>
  <c r="O19" i="8"/>
  <c r="O19" i="28" s="1"/>
  <c r="O71" i="28" s="1"/>
  <c r="O24" i="8"/>
  <c r="O24" i="28" s="1"/>
  <c r="O76" i="28" s="1"/>
  <c r="O11" i="8"/>
  <c r="O11" i="28" s="1"/>
  <c r="O63" i="28" s="1"/>
  <c r="O20" i="8"/>
  <c r="O20" i="28" s="1"/>
  <c r="O72" i="28" s="1"/>
  <c r="O42" i="8"/>
  <c r="O42" i="28" s="1"/>
  <c r="O94" i="28" s="1"/>
  <c r="O38" i="8"/>
  <c r="O38" i="28" s="1"/>
  <c r="O90" i="28" s="1"/>
  <c r="O49" i="8"/>
  <c r="O49" i="28" s="1"/>
  <c r="O101" i="28" s="1"/>
  <c r="O18" i="8"/>
  <c r="O18" i="28" s="1"/>
  <c r="O70" i="28" s="1"/>
  <c r="O26" i="8"/>
  <c r="O26" i="28" s="1"/>
  <c r="O78" i="28" s="1"/>
  <c r="O40" i="8"/>
  <c r="O40" i="28" s="1"/>
  <c r="O92" i="28" s="1"/>
  <c r="O32" i="8"/>
  <c r="O32" i="28" s="1"/>
  <c r="O84" i="28" s="1"/>
  <c r="O28" i="8"/>
  <c r="O28" i="28" s="1"/>
  <c r="O80" i="28" s="1"/>
  <c r="O22" i="8"/>
  <c r="O22" i="28" s="1"/>
  <c r="O74" i="28" s="1"/>
  <c r="O48" i="8"/>
  <c r="O48" i="28" s="1"/>
  <c r="O100" i="28" s="1"/>
  <c r="O29" i="8"/>
  <c r="O29" i="28" s="1"/>
  <c r="O81" i="28" s="1"/>
  <c r="O41" i="8"/>
  <c r="O41" i="28" s="1"/>
  <c r="O93" i="28" s="1"/>
  <c r="O8" i="8"/>
  <c r="O8" i="28" s="1"/>
  <c r="O60" i="28" s="1"/>
  <c r="O45" i="8"/>
  <c r="O45" i="28" s="1"/>
  <c r="O97" i="28" s="1"/>
  <c r="O16" i="8"/>
  <c r="O16" i="28" s="1"/>
  <c r="O68" i="28" s="1"/>
  <c r="O9" i="8"/>
  <c r="O9" i="28" s="1"/>
  <c r="O61" i="28" s="1"/>
  <c r="O47" i="8"/>
  <c r="O47" i="28" s="1"/>
  <c r="O99" i="28" s="1"/>
  <c r="O39" i="8"/>
  <c r="O39" i="28" s="1"/>
  <c r="O91" i="28" s="1"/>
  <c r="O23" i="8"/>
  <c r="O23" i="28" s="1"/>
  <c r="O75" i="28" s="1"/>
  <c r="O35" i="8"/>
  <c r="O35" i="28" s="1"/>
  <c r="O87" i="28" s="1"/>
  <c r="O30" i="8"/>
  <c r="O30" i="28" s="1"/>
  <c r="O82" i="28" s="1"/>
  <c r="O5" i="8"/>
  <c r="O51" i="8"/>
  <c r="O51" i="28" s="1"/>
  <c r="O103" i="28" s="1"/>
  <c r="O50" i="8"/>
  <c r="O50" i="28" s="1"/>
  <c r="O102" i="28" s="1"/>
  <c r="O7" i="8"/>
  <c r="O7" i="28" s="1"/>
  <c r="O59" i="28" s="1"/>
  <c r="O6" i="8"/>
  <c r="O6" i="28" s="1"/>
  <c r="O58" i="28" s="1"/>
  <c r="O37" i="8"/>
  <c r="O37" i="28" s="1"/>
  <c r="O89" i="28" s="1"/>
  <c r="O17" i="8"/>
  <c r="O17" i="28" s="1"/>
  <c r="O69" i="28" s="1"/>
  <c r="O25" i="8"/>
  <c r="O25" i="28" s="1"/>
  <c r="O77" i="28" s="1"/>
  <c r="O33" i="8"/>
  <c r="O33" i="28" s="1"/>
  <c r="O85" i="28" s="1"/>
  <c r="O12" i="8"/>
  <c r="O12" i="28" s="1"/>
  <c r="O64" i="28" s="1"/>
  <c r="O36" i="8"/>
  <c r="O36" i="28" s="1"/>
  <c r="O88" i="28" s="1"/>
  <c r="O27" i="8"/>
  <c r="O27" i="28" s="1"/>
  <c r="O79" i="28" s="1"/>
  <c r="O31" i="8"/>
  <c r="O31" i="28" s="1"/>
  <c r="O83" i="28" s="1"/>
  <c r="W48" i="8"/>
  <c r="V48" i="28" s="1"/>
  <c r="V100" i="28" s="1"/>
  <c r="AA11" i="28"/>
  <c r="AA63" i="28" s="1"/>
  <c r="U43" i="13"/>
  <c r="S17" i="29"/>
  <c r="S59" i="29" s="1"/>
  <c r="P41" i="8"/>
  <c r="P41" i="28" s="1"/>
  <c r="P93" i="28" s="1"/>
  <c r="Q39" i="8"/>
  <c r="Q39" i="28" s="1"/>
  <c r="Q91" i="28" s="1"/>
  <c r="Q31" i="8"/>
  <c r="Q31" i="28" s="1"/>
  <c r="Q83" i="28" s="1"/>
  <c r="AH24" i="8"/>
  <c r="AD24" i="28" s="1"/>
  <c r="AD76" i="28" s="1"/>
  <c r="AH42" i="8"/>
  <c r="AD42" i="28" s="1"/>
  <c r="AD94" i="28" s="1"/>
  <c r="AH46" i="8"/>
  <c r="AD46" i="28" s="1"/>
  <c r="AD98" i="28" s="1"/>
  <c r="V14" i="30"/>
  <c r="N14" i="30"/>
  <c r="F14" i="30"/>
  <c r="S14" i="30"/>
  <c r="K14" i="30"/>
  <c r="D14" i="30"/>
  <c r="T14" i="30"/>
  <c r="L14" i="30"/>
  <c r="X14" i="30"/>
  <c r="Q14" i="30"/>
  <c r="I14" i="30"/>
  <c r="C14" i="30"/>
  <c r="R14" i="30"/>
  <c r="J14" i="30"/>
  <c r="W14" i="30"/>
  <c r="O14" i="30"/>
  <c r="G14" i="30"/>
  <c r="B14" i="30"/>
  <c r="P14" i="30"/>
  <c r="H14" i="30"/>
  <c r="U14" i="30"/>
  <c r="M14" i="30"/>
  <c r="E14" i="30"/>
  <c r="AA9" i="28"/>
  <c r="AA61" i="28" s="1"/>
  <c r="AD5" i="9"/>
  <c r="AD53" i="9" s="1"/>
  <c r="AC53" i="9"/>
  <c r="O30" i="12"/>
  <c r="O30" i="29" s="1"/>
  <c r="O72" i="29" s="1"/>
  <c r="O30" i="13"/>
  <c r="O34" i="12"/>
  <c r="O34" i="13"/>
  <c r="O34" i="29" s="1"/>
  <c r="O76" i="29" s="1"/>
  <c r="O19" i="12"/>
  <c r="O19" i="29" s="1"/>
  <c r="O61" i="29" s="1"/>
  <c r="O19" i="13"/>
  <c r="O9" i="29"/>
  <c r="O51" i="29" s="1"/>
  <c r="O9" i="12"/>
  <c r="O9" i="13"/>
  <c r="O37" i="13"/>
  <c r="O37" i="29" s="1"/>
  <c r="O79" i="29" s="1"/>
  <c r="O37" i="12"/>
  <c r="O28" i="12"/>
  <c r="O28" i="13"/>
  <c r="O28" i="29" s="1"/>
  <c r="O70" i="29" s="1"/>
  <c r="O17" i="12"/>
  <c r="O17" i="29" s="1"/>
  <c r="O59" i="29" s="1"/>
  <c r="O17" i="13"/>
  <c r="O13" i="29"/>
  <c r="O55" i="29" s="1"/>
  <c r="O13" i="12"/>
  <c r="O13" i="13"/>
  <c r="O11" i="12"/>
  <c r="O11" i="29" s="1"/>
  <c r="O53" i="29" s="1"/>
  <c r="O11" i="13"/>
  <c r="O15" i="13"/>
  <c r="O15" i="12"/>
  <c r="O15" i="29" s="1"/>
  <c r="O57" i="29" s="1"/>
  <c r="P18" i="8"/>
  <c r="P18" i="28" s="1"/>
  <c r="P70" i="28" s="1"/>
  <c r="P49" i="8"/>
  <c r="P49" i="28" s="1"/>
  <c r="P101" i="28" s="1"/>
  <c r="V23" i="8"/>
  <c r="U23" i="28" s="1"/>
  <c r="U75" i="28" s="1"/>
  <c r="AB43" i="7"/>
  <c r="V43" i="9"/>
  <c r="V43" i="8"/>
  <c r="U43" i="28" s="1"/>
  <c r="U95" i="28" s="1"/>
  <c r="V15" i="8"/>
  <c r="U15" i="28" s="1"/>
  <c r="U67" i="28" s="1"/>
  <c r="AB15" i="7"/>
  <c r="V15" i="9"/>
  <c r="AB24" i="7"/>
  <c r="V24" i="9"/>
  <c r="U5" i="28"/>
  <c r="U57" i="28" s="1"/>
  <c r="V53" i="7"/>
  <c r="V58" i="7" s="1"/>
  <c r="V5" i="8"/>
  <c r="V5" i="9"/>
  <c r="AB5" i="7"/>
  <c r="V16" i="9"/>
  <c r="V16" i="8"/>
  <c r="U16" i="28" s="1"/>
  <c r="U68" i="28" s="1"/>
  <c r="U32" i="28"/>
  <c r="U84" i="28" s="1"/>
  <c r="V32" i="8"/>
  <c r="AB32" i="7"/>
  <c r="V32" i="9"/>
  <c r="V35" i="9"/>
  <c r="AB35" i="9" s="1"/>
  <c r="U48" i="28"/>
  <c r="U100" i="28" s="1"/>
  <c r="V48" i="9"/>
  <c r="AB48" i="7"/>
  <c r="V48" i="8"/>
  <c r="AB27" i="7"/>
  <c r="V27" i="9"/>
  <c r="V26" i="8"/>
  <c r="U26" i="28" s="1"/>
  <c r="U78" i="28" s="1"/>
  <c r="AB26" i="7"/>
  <c r="V26" i="9"/>
  <c r="AB26" i="9" s="1"/>
  <c r="AB31" i="7"/>
  <c r="V31" i="9"/>
  <c r="AB31" i="9" s="1"/>
  <c r="U31" i="8"/>
  <c r="G11" i="31"/>
  <c r="L9" i="31"/>
  <c r="P36" i="12"/>
  <c r="P36" i="29" s="1"/>
  <c r="P78" i="29" s="1"/>
  <c r="P36" i="13"/>
  <c r="P19" i="12"/>
  <c r="P19" i="13"/>
  <c r="P19" i="29" s="1"/>
  <c r="P61" i="29" s="1"/>
  <c r="P26" i="12"/>
  <c r="P26" i="29" s="1"/>
  <c r="P68" i="29" s="1"/>
  <c r="P26" i="13"/>
  <c r="P17" i="29"/>
  <c r="P59" i="29" s="1"/>
  <c r="P17" i="13"/>
  <c r="P17" i="12"/>
  <c r="P23" i="12"/>
  <c r="P23" i="29" s="1"/>
  <c r="P65" i="29" s="1"/>
  <c r="P23" i="13"/>
  <c r="P13" i="13"/>
  <c r="P13" i="12"/>
  <c r="P13" i="29" s="1"/>
  <c r="P55" i="29" s="1"/>
  <c r="P10" i="12"/>
  <c r="P10" i="29" s="1"/>
  <c r="P52" i="29" s="1"/>
  <c r="P10" i="13"/>
  <c r="P25" i="29"/>
  <c r="P67" i="29" s="1"/>
  <c r="P25" i="12"/>
  <c r="P25" i="13"/>
  <c r="P20" i="13"/>
  <c r="P20" i="29" s="1"/>
  <c r="P62" i="29" s="1"/>
  <c r="P20" i="12"/>
  <c r="O9" i="30"/>
  <c r="O11" i="30"/>
  <c r="O7" i="30"/>
  <c r="O13" i="30" s="1"/>
  <c r="V25" i="12"/>
  <c r="W25" i="12" s="1"/>
  <c r="V25" i="13"/>
  <c r="W25" i="13" s="1"/>
  <c r="W25" i="11"/>
  <c r="V28" i="12"/>
  <c r="W28" i="12" s="1"/>
  <c r="V28" i="13"/>
  <c r="W28" i="13" s="1"/>
  <c r="W28" i="11"/>
  <c r="V27" i="12"/>
  <c r="T27" i="29" s="1"/>
  <c r="T69" i="29" s="1"/>
  <c r="V27" i="13"/>
  <c r="W27" i="13" s="1"/>
  <c r="T20" i="29"/>
  <c r="T62" i="29" s="1"/>
  <c r="V20" i="13"/>
  <c r="W20" i="13" s="1"/>
  <c r="W20" i="11"/>
  <c r="V20" i="12"/>
  <c r="W20" i="12" s="1"/>
  <c r="T29" i="29"/>
  <c r="T71" i="29" s="1"/>
  <c r="V29" i="13"/>
  <c r="W29" i="13" s="1"/>
  <c r="W29" i="11"/>
  <c r="V29" i="12"/>
  <c r="W29" i="12" s="1"/>
  <c r="T32" i="29"/>
  <c r="T74" i="29" s="1"/>
  <c r="V32" i="13"/>
  <c r="W32" i="13" s="1"/>
  <c r="W32" i="11"/>
  <c r="V32" i="12"/>
  <c r="W32" i="12" s="1"/>
  <c r="T13" i="29"/>
  <c r="T55" i="29" s="1"/>
  <c r="V13" i="12"/>
  <c r="V13" i="13"/>
  <c r="W13" i="13" s="1"/>
  <c r="W13" i="11"/>
  <c r="T23" i="29"/>
  <c r="T65" i="29" s="1"/>
  <c r="V23" i="13"/>
  <c r="W23" i="13" s="1"/>
  <c r="W23" i="11"/>
  <c r="V23" i="12"/>
  <c r="W23" i="12" s="1"/>
  <c r="T19" i="29"/>
  <c r="T61" i="29" s="1"/>
  <c r="V19" i="13"/>
  <c r="W19" i="13" s="1"/>
  <c r="V19" i="12"/>
  <c r="W19" i="12" s="1"/>
  <c r="W19" i="11"/>
  <c r="P13" i="30"/>
  <c r="X53" i="8"/>
  <c r="W5" i="28"/>
  <c r="W57" i="28" s="1"/>
  <c r="AI31" i="8"/>
  <c r="AE31" i="28" s="1"/>
  <c r="AE83" i="28" s="1"/>
  <c r="AI22" i="8"/>
  <c r="AE22" i="28" s="1"/>
  <c r="AE74" i="28" s="1"/>
  <c r="AI18" i="8"/>
  <c r="AE18" i="28" s="1"/>
  <c r="AE70" i="28" s="1"/>
  <c r="AI8" i="8"/>
  <c r="AE8" i="28" s="1"/>
  <c r="AE60" i="28" s="1"/>
  <c r="AI42" i="8"/>
  <c r="AE42" i="28" s="1"/>
  <c r="AE94" i="28" s="1"/>
  <c r="AI17" i="8"/>
  <c r="AE17" i="28" s="1"/>
  <c r="AE69" i="28" s="1"/>
  <c r="AI46" i="8"/>
  <c r="AE46" i="28" s="1"/>
  <c r="AE98" i="28" s="1"/>
  <c r="AI37" i="8"/>
  <c r="AE37" i="28" s="1"/>
  <c r="AE89" i="28" s="1"/>
  <c r="AI21" i="8"/>
  <c r="AE21" i="28" s="1"/>
  <c r="AE73" i="28" s="1"/>
  <c r="AI16" i="8"/>
  <c r="AE16" i="28" s="1"/>
  <c r="AE68" i="28" s="1"/>
  <c r="AI7" i="8"/>
  <c r="AE7" i="28" s="1"/>
  <c r="AE59" i="28" s="1"/>
  <c r="AI19" i="8"/>
  <c r="AE19" i="28" s="1"/>
  <c r="AE71" i="28" s="1"/>
  <c r="AI25" i="8"/>
  <c r="AE25" i="28" s="1"/>
  <c r="AE77" i="28" s="1"/>
  <c r="AI51" i="8"/>
  <c r="AE51" i="28" s="1"/>
  <c r="AE103" i="28" s="1"/>
  <c r="AI50" i="8"/>
  <c r="AE50" i="28" s="1"/>
  <c r="AE102" i="28" s="1"/>
  <c r="AI27" i="8"/>
  <c r="AE27" i="28" s="1"/>
  <c r="AE79" i="28" s="1"/>
  <c r="AI38" i="8"/>
  <c r="AE38" i="28" s="1"/>
  <c r="AE90" i="28" s="1"/>
  <c r="AI45" i="8"/>
  <c r="AE45" i="28" s="1"/>
  <c r="AE97" i="28" s="1"/>
  <c r="AI39" i="8"/>
  <c r="AE39" i="28" s="1"/>
  <c r="AE91" i="28" s="1"/>
  <c r="AI40" i="8"/>
  <c r="AE40" i="28" s="1"/>
  <c r="AE92" i="28" s="1"/>
  <c r="AI32" i="8"/>
  <c r="AE32" i="28" s="1"/>
  <c r="AE84" i="28" s="1"/>
  <c r="AI43" i="8"/>
  <c r="AE43" i="28" s="1"/>
  <c r="AE95" i="28" s="1"/>
  <c r="AI41" i="8"/>
  <c r="AE41" i="28" s="1"/>
  <c r="AE93" i="28" s="1"/>
  <c r="AI35" i="8"/>
  <c r="AE35" i="28" s="1"/>
  <c r="AE87" i="28" s="1"/>
  <c r="AI33" i="8"/>
  <c r="AE33" i="28" s="1"/>
  <c r="AE85" i="28" s="1"/>
  <c r="AI6" i="8"/>
  <c r="AE6" i="28" s="1"/>
  <c r="AE58" i="28" s="1"/>
  <c r="AI14" i="8"/>
  <c r="AE14" i="28" s="1"/>
  <c r="AE66" i="28" s="1"/>
  <c r="AI20" i="8"/>
  <c r="AE20" i="28" s="1"/>
  <c r="AE72" i="28" s="1"/>
  <c r="AI15" i="8"/>
  <c r="AE15" i="28" s="1"/>
  <c r="AE67" i="28" s="1"/>
  <c r="AI30" i="8"/>
  <c r="AE30" i="28" s="1"/>
  <c r="AE82" i="28" s="1"/>
  <c r="AI44" i="8"/>
  <c r="AE44" i="28" s="1"/>
  <c r="AE96" i="28" s="1"/>
  <c r="AI28" i="8"/>
  <c r="AE28" i="28" s="1"/>
  <c r="AE80" i="28" s="1"/>
  <c r="AI26" i="8"/>
  <c r="AE26" i="28" s="1"/>
  <c r="AE78" i="28" s="1"/>
  <c r="AI36" i="8"/>
  <c r="AE36" i="28" s="1"/>
  <c r="AE88" i="28" s="1"/>
  <c r="AI12" i="8"/>
  <c r="AE12" i="28" s="1"/>
  <c r="AE64" i="28" s="1"/>
  <c r="AI47" i="8"/>
  <c r="AE47" i="28" s="1"/>
  <c r="AE99" i="28" s="1"/>
  <c r="AI29" i="8"/>
  <c r="AE29" i="28" s="1"/>
  <c r="AE81" i="28" s="1"/>
  <c r="AI11" i="8"/>
  <c r="AE11" i="28" s="1"/>
  <c r="AE63" i="28" s="1"/>
  <c r="AI24" i="8"/>
  <c r="AE24" i="28" s="1"/>
  <c r="AE76" i="28" s="1"/>
  <c r="AI34" i="8"/>
  <c r="AE34" i="28" s="1"/>
  <c r="AE86" i="28" s="1"/>
  <c r="AI5" i="8"/>
  <c r="AI10" i="8"/>
  <c r="AE10" i="28" s="1"/>
  <c r="AE62" i="28" s="1"/>
  <c r="AI13" i="8"/>
  <c r="AE13" i="28" s="1"/>
  <c r="AE65" i="28" s="1"/>
  <c r="AI9" i="8"/>
  <c r="AE9" i="28" s="1"/>
  <c r="AE61" i="28" s="1"/>
  <c r="M19" i="12"/>
  <c r="M19" i="29" s="1"/>
  <c r="M61" i="29" s="1"/>
  <c r="M19" i="13"/>
  <c r="M37" i="29"/>
  <c r="M79" i="29" s="1"/>
  <c r="M37" i="12"/>
  <c r="M37" i="13"/>
  <c r="M18" i="12"/>
  <c r="M18" i="29" s="1"/>
  <c r="M60" i="29" s="1"/>
  <c r="M18" i="13"/>
  <c r="M21" i="12"/>
  <c r="M21" i="13"/>
  <c r="M21" i="29" s="1"/>
  <c r="M63" i="29" s="1"/>
  <c r="M31" i="12"/>
  <c r="M31" i="29" s="1"/>
  <c r="M73" i="29" s="1"/>
  <c r="M31" i="13"/>
  <c r="M10" i="29"/>
  <c r="M52" i="29" s="1"/>
  <c r="M10" i="13"/>
  <c r="M10" i="12"/>
  <c r="M14" i="12"/>
  <c r="M14" i="29" s="1"/>
  <c r="M56" i="29" s="1"/>
  <c r="M14" i="13"/>
  <c r="M7" i="13"/>
  <c r="M7" i="12"/>
  <c r="M7" i="29" s="1"/>
  <c r="M49" i="29" s="1"/>
  <c r="M40" i="12"/>
  <c r="M40" i="29" s="1"/>
  <c r="M82" i="29" s="1"/>
  <c r="M40" i="13"/>
  <c r="M22" i="9"/>
  <c r="M27" i="9"/>
  <c r="M33" i="9"/>
  <c r="M45" i="9"/>
  <c r="M45" i="8"/>
  <c r="M45" i="28" s="1"/>
  <c r="M97" i="28" s="1"/>
  <c r="M8" i="9"/>
  <c r="M37" i="9"/>
  <c r="M28" i="9"/>
  <c r="M17" i="9"/>
  <c r="M7" i="9"/>
  <c r="M5" i="9"/>
  <c r="M53" i="7"/>
  <c r="M58" i="7" s="1"/>
  <c r="M36" i="8" s="1"/>
  <c r="M36" i="28" s="1"/>
  <c r="M88" i="28" s="1"/>
  <c r="M21" i="9"/>
  <c r="W15" i="11"/>
  <c r="W27" i="11"/>
  <c r="Y38" i="9"/>
  <c r="Y16" i="9"/>
  <c r="Y40" i="9"/>
  <c r="AB8" i="7"/>
  <c r="Y8" i="9"/>
  <c r="Y48" i="9"/>
  <c r="Y17" i="9"/>
  <c r="Y46" i="9"/>
  <c r="Y50" i="9"/>
  <c r="Y27" i="9"/>
  <c r="Y32" i="9"/>
  <c r="Y33" i="9"/>
  <c r="Y6" i="9"/>
  <c r="U53" i="9"/>
  <c r="H9" i="31"/>
  <c r="H11" i="31"/>
  <c r="H7" i="31"/>
  <c r="H13" i="31" s="1"/>
  <c r="AH53" i="9"/>
  <c r="AH45" i="8"/>
  <c r="AD45" i="28" s="1"/>
  <c r="AD97" i="28" s="1"/>
  <c r="AH41" i="8"/>
  <c r="AD41" i="28" s="1"/>
  <c r="AD93" i="28" s="1"/>
  <c r="S15" i="30"/>
  <c r="K15" i="30"/>
  <c r="C15" i="30"/>
  <c r="L15" i="30"/>
  <c r="F15" i="30"/>
  <c r="X15" i="30"/>
  <c r="Q15" i="30"/>
  <c r="I15" i="30"/>
  <c r="R15" i="30"/>
  <c r="B15" i="30"/>
  <c r="P15" i="30"/>
  <c r="W15" i="30"/>
  <c r="O15" i="30"/>
  <c r="G15" i="30"/>
  <c r="J15" i="30"/>
  <c r="V15" i="30"/>
  <c r="H15" i="30"/>
  <c r="U15" i="30"/>
  <c r="M15" i="30"/>
  <c r="E15" i="30"/>
  <c r="T15" i="30"/>
  <c r="N15" i="30"/>
  <c r="D15" i="30"/>
  <c r="L50" i="8"/>
  <c r="L50" i="28" s="1"/>
  <c r="L102" i="28" s="1"/>
  <c r="L20" i="8"/>
  <c r="L20" i="28" s="1"/>
  <c r="L72" i="28" s="1"/>
  <c r="L30" i="8"/>
  <c r="L30" i="28" s="1"/>
  <c r="L82" i="28" s="1"/>
  <c r="L26" i="8"/>
  <c r="L26" i="28" s="1"/>
  <c r="L78" i="28" s="1"/>
  <c r="L16" i="8"/>
  <c r="L16" i="28" s="1"/>
  <c r="L68" i="28" s="1"/>
  <c r="L6" i="8"/>
  <c r="L6" i="28" s="1"/>
  <c r="L58" i="28" s="1"/>
  <c r="L28" i="8"/>
  <c r="L28" i="28" s="1"/>
  <c r="L80" i="28" s="1"/>
  <c r="L11" i="8"/>
  <c r="L11" i="28" s="1"/>
  <c r="L63" i="28" s="1"/>
  <c r="L46" i="8"/>
  <c r="L46" i="28" s="1"/>
  <c r="L98" i="28" s="1"/>
  <c r="L34" i="8"/>
  <c r="L34" i="28" s="1"/>
  <c r="L86" i="28" s="1"/>
  <c r="L13" i="8"/>
  <c r="L13" i="28" s="1"/>
  <c r="L65" i="28" s="1"/>
  <c r="L29" i="8"/>
  <c r="L29" i="28" s="1"/>
  <c r="L81" i="28" s="1"/>
  <c r="L40" i="8"/>
  <c r="L40" i="28" s="1"/>
  <c r="L92" i="28" s="1"/>
  <c r="L44" i="8"/>
  <c r="L44" i="28" s="1"/>
  <c r="L96" i="28" s="1"/>
  <c r="L43" i="8"/>
  <c r="L43" i="28" s="1"/>
  <c r="L95" i="28" s="1"/>
  <c r="L8" i="8"/>
  <c r="L8" i="28" s="1"/>
  <c r="L60" i="28" s="1"/>
  <c r="L25" i="8"/>
  <c r="L25" i="28" s="1"/>
  <c r="L77" i="28" s="1"/>
  <c r="L39" i="8"/>
  <c r="L39" i="28" s="1"/>
  <c r="L91" i="28" s="1"/>
  <c r="L31" i="8"/>
  <c r="L31" i="28" s="1"/>
  <c r="L83" i="28" s="1"/>
  <c r="L35" i="8"/>
  <c r="L35" i="28" s="1"/>
  <c r="L87" i="28" s="1"/>
  <c r="L47" i="8"/>
  <c r="L47" i="28" s="1"/>
  <c r="L99" i="28" s="1"/>
  <c r="L48" i="8"/>
  <c r="L48" i="28" s="1"/>
  <c r="L100" i="28" s="1"/>
  <c r="L41" i="8"/>
  <c r="L41" i="28" s="1"/>
  <c r="L93" i="28" s="1"/>
  <c r="L49" i="8"/>
  <c r="L49" i="28" s="1"/>
  <c r="L101" i="28" s="1"/>
  <c r="L33" i="8"/>
  <c r="L33" i="28" s="1"/>
  <c r="L85" i="28" s="1"/>
  <c r="L27" i="8"/>
  <c r="L27" i="28" s="1"/>
  <c r="L79" i="28" s="1"/>
  <c r="L23" i="8"/>
  <c r="L23" i="28" s="1"/>
  <c r="L75" i="28" s="1"/>
  <c r="L21" i="8"/>
  <c r="L21" i="28" s="1"/>
  <c r="L73" i="28" s="1"/>
  <c r="L10" i="8"/>
  <c r="L10" i="28" s="1"/>
  <c r="L62" i="28" s="1"/>
  <c r="L5" i="8"/>
  <c r="L19" i="8"/>
  <c r="L19" i="28" s="1"/>
  <c r="L71" i="28" s="1"/>
  <c r="L12" i="8"/>
  <c r="L12" i="28" s="1"/>
  <c r="L64" i="28" s="1"/>
  <c r="L24" i="8"/>
  <c r="L24" i="28" s="1"/>
  <c r="L76" i="28" s="1"/>
  <c r="L14" i="8"/>
  <c r="L14" i="28" s="1"/>
  <c r="L66" i="28" s="1"/>
  <c r="L18" i="8"/>
  <c r="L18" i="28" s="1"/>
  <c r="L70" i="28" s="1"/>
  <c r="L17" i="8"/>
  <c r="L17" i="28" s="1"/>
  <c r="L69" i="28" s="1"/>
  <c r="L32" i="8"/>
  <c r="L32" i="28" s="1"/>
  <c r="L84" i="28" s="1"/>
  <c r="L22" i="8"/>
  <c r="L22" i="28" s="1"/>
  <c r="L74" i="28" s="1"/>
  <c r="L51" i="8"/>
  <c r="L51" i="28" s="1"/>
  <c r="L103" i="28" s="1"/>
  <c r="L15" i="8"/>
  <c r="L15" i="28" s="1"/>
  <c r="L67" i="28" s="1"/>
  <c r="L38" i="8"/>
  <c r="L38" i="28" s="1"/>
  <c r="L90" i="28" s="1"/>
  <c r="L36" i="8"/>
  <c r="L36" i="28" s="1"/>
  <c r="L88" i="28" s="1"/>
  <c r="L42" i="8"/>
  <c r="L42" i="28" s="1"/>
  <c r="L94" i="28" s="1"/>
  <c r="L37" i="8"/>
  <c r="L37" i="28" s="1"/>
  <c r="L89" i="28" s="1"/>
  <c r="L45" i="8"/>
  <c r="L45" i="28" s="1"/>
  <c r="L97" i="28" s="1"/>
  <c r="L9" i="8"/>
  <c r="L9" i="28" s="1"/>
  <c r="L61" i="28" s="1"/>
  <c r="L7" i="8"/>
  <c r="L7" i="28" s="1"/>
  <c r="L59" i="28" s="1"/>
  <c r="P35" i="8"/>
  <c r="P35" i="28" s="1"/>
  <c r="P87" i="28" s="1"/>
  <c r="U8" i="8"/>
  <c r="AH40" i="8"/>
  <c r="AD40" i="28" s="1"/>
  <c r="AD92" i="28" s="1"/>
  <c r="AH12" i="8"/>
  <c r="AD12" i="28" s="1"/>
  <c r="AD64" i="28" s="1"/>
  <c r="AC10" i="8"/>
  <c r="AC31" i="8"/>
  <c r="AC7" i="8"/>
  <c r="AC12" i="8"/>
  <c r="AC43" i="8"/>
  <c r="AC25" i="8"/>
  <c r="AC16" i="8"/>
  <c r="AC39" i="8"/>
  <c r="AC47" i="8"/>
  <c r="AC51" i="8"/>
  <c r="AC30" i="8"/>
  <c r="AC17" i="8"/>
  <c r="AC33" i="8"/>
  <c r="AC5" i="8"/>
  <c r="AC45" i="8"/>
  <c r="AC28" i="8"/>
  <c r="AC32" i="8"/>
  <c r="AC21" i="8"/>
  <c r="AC37" i="8"/>
  <c r="AC36" i="8"/>
  <c r="AC14" i="8"/>
  <c r="AC44" i="8"/>
  <c r="AC50" i="8"/>
  <c r="AC26" i="8"/>
  <c r="AC35" i="8"/>
  <c r="AC20" i="8"/>
  <c r="AC49" i="8"/>
  <c r="AC46" i="8"/>
  <c r="AC40" i="8"/>
  <c r="AC41" i="8"/>
  <c r="AC34" i="8"/>
  <c r="AC6" i="8"/>
  <c r="AC15" i="8"/>
  <c r="AC18" i="8"/>
  <c r="AC38" i="8"/>
  <c r="O23" i="13"/>
  <c r="O23" i="12"/>
  <c r="O23" i="29" s="1"/>
  <c r="O65" i="29" s="1"/>
  <c r="O8" i="29"/>
  <c r="O50" i="29" s="1"/>
  <c r="O8" i="12"/>
  <c r="O8" i="13"/>
  <c r="O20" i="12"/>
  <c r="O20" i="29" s="1"/>
  <c r="O62" i="29" s="1"/>
  <c r="O20" i="13"/>
  <c r="O40" i="12"/>
  <c r="O40" i="29" s="1"/>
  <c r="O82" i="29" s="1"/>
  <c r="O40" i="13"/>
  <c r="O12" i="12"/>
  <c r="O12" i="29" s="1"/>
  <c r="O54" i="29" s="1"/>
  <c r="O12" i="13"/>
  <c r="O21" i="29"/>
  <c r="O63" i="29" s="1"/>
  <c r="O21" i="12"/>
  <c r="O21" i="13"/>
  <c r="O22" i="12"/>
  <c r="O22" i="29" s="1"/>
  <c r="O64" i="29" s="1"/>
  <c r="O22" i="13"/>
  <c r="O16" i="12"/>
  <c r="O16" i="29" s="1"/>
  <c r="O58" i="29" s="1"/>
  <c r="O16" i="13"/>
  <c r="O25" i="12"/>
  <c r="O25" i="29" s="1"/>
  <c r="O67" i="29" s="1"/>
  <c r="O25" i="13"/>
  <c r="AI49" i="8"/>
  <c r="AE49" i="28" s="1"/>
  <c r="AE101" i="28" s="1"/>
  <c r="P25" i="8"/>
  <c r="P25" i="28" s="1"/>
  <c r="P77" i="28" s="1"/>
  <c r="P47" i="8"/>
  <c r="P47" i="28" s="1"/>
  <c r="P99" i="28" s="1"/>
  <c r="V30" i="9"/>
  <c r="AB30" i="7"/>
  <c r="V49" i="9"/>
  <c r="AB49" i="7"/>
  <c r="V25" i="8"/>
  <c r="U25" i="28" s="1"/>
  <c r="U77" i="28" s="1"/>
  <c r="V25" i="9"/>
  <c r="U38" i="28"/>
  <c r="U90" i="28" s="1"/>
  <c r="V38" i="9"/>
  <c r="AB38" i="9" s="1"/>
  <c r="AB38" i="7"/>
  <c r="V38" i="8"/>
  <c r="U17" i="28"/>
  <c r="U69" i="28" s="1"/>
  <c r="V17" i="8"/>
  <c r="V17" i="9"/>
  <c r="AB17" i="9" s="1"/>
  <c r="AB17" i="7"/>
  <c r="U28" i="28"/>
  <c r="U80" i="28" s="1"/>
  <c r="V28" i="8"/>
  <c r="V28" i="9"/>
  <c r="V9" i="9"/>
  <c r="V9" i="8"/>
  <c r="V20" i="9"/>
  <c r="AB20" i="7"/>
  <c r="V7" i="9"/>
  <c r="V40" i="8"/>
  <c r="U40" i="28" s="1"/>
  <c r="U92" i="28" s="1"/>
  <c r="V40" i="9"/>
  <c r="AB40" i="7"/>
  <c r="AB34" i="7"/>
  <c r="V34" i="8"/>
  <c r="V34" i="9"/>
  <c r="AB34" i="9" s="1"/>
  <c r="U12" i="8"/>
  <c r="T12" i="28" s="1"/>
  <c r="T64" i="28" s="1"/>
  <c r="U39" i="8"/>
  <c r="T39" i="28" s="1"/>
  <c r="T91" i="28" s="1"/>
  <c r="W13" i="12"/>
  <c r="G9" i="31"/>
  <c r="U49" i="8"/>
  <c r="T49" i="28" s="1"/>
  <c r="T101" i="28" s="1"/>
  <c r="P24" i="29"/>
  <c r="P66" i="29" s="1"/>
  <c r="P24" i="12"/>
  <c r="P24" i="13"/>
  <c r="P33" i="12"/>
  <c r="P33" i="29" s="1"/>
  <c r="P75" i="29" s="1"/>
  <c r="P33" i="13"/>
  <c r="P35" i="12"/>
  <c r="P35" i="13"/>
  <c r="P35" i="29" s="1"/>
  <c r="P77" i="29" s="1"/>
  <c r="P14" i="12"/>
  <c r="P14" i="29" s="1"/>
  <c r="P56" i="29" s="1"/>
  <c r="P14" i="13"/>
  <c r="P11" i="29"/>
  <c r="P53" i="29" s="1"/>
  <c r="P11" i="12"/>
  <c r="P11" i="13"/>
  <c r="P16" i="12"/>
  <c r="P16" i="29" s="1"/>
  <c r="P58" i="29" s="1"/>
  <c r="P16" i="13"/>
  <c r="P31" i="13"/>
  <c r="P31" i="12"/>
  <c r="P31" i="29" s="1"/>
  <c r="P73" i="29" s="1"/>
  <c r="P29" i="12"/>
  <c r="P29" i="29" s="1"/>
  <c r="P71" i="29" s="1"/>
  <c r="P29" i="13"/>
  <c r="P7" i="29"/>
  <c r="P49" i="29" s="1"/>
  <c r="P7" i="12"/>
  <c r="P7" i="13"/>
  <c r="V30" i="12"/>
  <c r="W30" i="12" s="1"/>
  <c r="V30" i="13"/>
  <c r="W30" i="13" s="1"/>
  <c r="V39" i="12"/>
  <c r="W39" i="12" s="1"/>
  <c r="V39" i="13"/>
  <c r="W39" i="13" s="1"/>
  <c r="W39" i="11"/>
  <c r="V33" i="12"/>
  <c r="W33" i="12" s="1"/>
  <c r="V33" i="13"/>
  <c r="W33" i="13" s="1"/>
  <c r="W22" i="11"/>
  <c r="V22" i="12"/>
  <c r="W22" i="12" s="1"/>
  <c r="V22" i="13"/>
  <c r="W22" i="13" s="1"/>
  <c r="W11" i="11"/>
  <c r="V11" i="12"/>
  <c r="W11" i="12" s="1"/>
  <c r="V11" i="13"/>
  <c r="W11" i="13" s="1"/>
  <c r="V7" i="12"/>
  <c r="W7" i="12" s="1"/>
  <c r="V7" i="13"/>
  <c r="W7" i="13" s="1"/>
  <c r="W7" i="11"/>
  <c r="V8" i="13"/>
  <c r="W8" i="13" s="1"/>
  <c r="W8" i="11"/>
  <c r="V8" i="12"/>
  <c r="W8" i="12" s="1"/>
  <c r="W24" i="11"/>
  <c r="V24" i="12"/>
  <c r="W24" i="12" s="1"/>
  <c r="V24" i="13"/>
  <c r="W24" i="13" s="1"/>
  <c r="V14" i="12"/>
  <c r="W14" i="12" s="1"/>
  <c r="W14" i="11"/>
  <c r="V14" i="13"/>
  <c r="W14" i="13" s="1"/>
  <c r="M50" i="9"/>
  <c r="M11" i="29"/>
  <c r="M53" i="29" s="1"/>
  <c r="M11" i="12"/>
  <c r="M11" i="13"/>
  <c r="M32" i="12"/>
  <c r="M32" i="29" s="1"/>
  <c r="M74" i="29" s="1"/>
  <c r="M32" i="13"/>
  <c r="M38" i="13"/>
  <c r="M38" i="12"/>
  <c r="M38" i="29" s="1"/>
  <c r="M80" i="29" s="1"/>
  <c r="M35" i="13"/>
  <c r="M35" i="12"/>
  <c r="M35" i="29" s="1"/>
  <c r="M77" i="29" s="1"/>
  <c r="M23" i="29"/>
  <c r="M65" i="29" s="1"/>
  <c r="M23" i="13"/>
  <c r="M23" i="12"/>
  <c r="M17" i="12"/>
  <c r="M17" i="29" s="1"/>
  <c r="M59" i="29" s="1"/>
  <c r="M17" i="13"/>
  <c r="M22" i="12"/>
  <c r="M22" i="13"/>
  <c r="M22" i="29" s="1"/>
  <c r="M64" i="29" s="1"/>
  <c r="M29" i="13"/>
  <c r="M29" i="12"/>
  <c r="M29" i="29" s="1"/>
  <c r="M71" i="29" s="1"/>
  <c r="M15" i="29"/>
  <c r="M57" i="29" s="1"/>
  <c r="M15" i="12"/>
  <c r="M15" i="13"/>
  <c r="M36" i="12"/>
  <c r="M36" i="29" s="1"/>
  <c r="M78" i="29" s="1"/>
  <c r="M36" i="13"/>
  <c r="M13" i="9"/>
  <c r="M44" i="28"/>
  <c r="M96" i="28" s="1"/>
  <c r="M44" i="9"/>
  <c r="M44" i="8"/>
  <c r="M31" i="9"/>
  <c r="M47" i="9"/>
  <c r="M47" i="8"/>
  <c r="M47" i="28" s="1"/>
  <c r="M99" i="28" s="1"/>
  <c r="M41" i="9"/>
  <c r="M38" i="9"/>
  <c r="M20" i="9"/>
  <c r="M40" i="9"/>
  <c r="M43" i="9"/>
  <c r="M23" i="9"/>
  <c r="M25" i="9"/>
  <c r="W53" i="9"/>
  <c r="Y41" i="9"/>
  <c r="AB29" i="7"/>
  <c r="Y29" i="9"/>
  <c r="AB28" i="7"/>
  <c r="Y28" i="9"/>
  <c r="Y18" i="9"/>
  <c r="Y24" i="9"/>
  <c r="AB24" i="9" s="1"/>
  <c r="Y10" i="9"/>
  <c r="Y30" i="9"/>
  <c r="Y9" i="9"/>
  <c r="Y42" i="9"/>
  <c r="AB39" i="7"/>
  <c r="Y39" i="9"/>
  <c r="Y44" i="9"/>
  <c r="Y14" i="9"/>
  <c r="U43" i="12"/>
  <c r="AI48" i="8"/>
  <c r="AE48" i="28" s="1"/>
  <c r="AE100" i="28" s="1"/>
  <c r="P33" i="8"/>
  <c r="P33" i="28" s="1"/>
  <c r="P85" i="28" s="1"/>
  <c r="P16" i="8"/>
  <c r="P16" i="28" s="1"/>
  <c r="P68" i="28" s="1"/>
  <c r="W30" i="11"/>
  <c r="Q17" i="8"/>
  <c r="Q17" i="28" s="1"/>
  <c r="Q69" i="28" s="1"/>
  <c r="Q41" i="8"/>
  <c r="Q41" i="28" s="1"/>
  <c r="Q93" i="28" s="1"/>
  <c r="Q50" i="8"/>
  <c r="Q50" i="28" s="1"/>
  <c r="Q102" i="28" s="1"/>
  <c r="Q44" i="8"/>
  <c r="Q44" i="28" s="1"/>
  <c r="Q96" i="28" s="1"/>
  <c r="Q14" i="8"/>
  <c r="Q14" i="28" s="1"/>
  <c r="Q66" i="28" s="1"/>
  <c r="Q36" i="8"/>
  <c r="Q36" i="28" s="1"/>
  <c r="Q88" i="28" s="1"/>
  <c r="Q16" i="8"/>
  <c r="Q16" i="28" s="1"/>
  <c r="Q68" i="28" s="1"/>
  <c r="Q19" i="8"/>
  <c r="Q19" i="28" s="1"/>
  <c r="Q71" i="28" s="1"/>
  <c r="Q24" i="8"/>
  <c r="Q24" i="28" s="1"/>
  <c r="Q76" i="28" s="1"/>
  <c r="Q45" i="8"/>
  <c r="Q45" i="28" s="1"/>
  <c r="Q97" i="28" s="1"/>
  <c r="Q23" i="8"/>
  <c r="Q23" i="28" s="1"/>
  <c r="Q75" i="28" s="1"/>
  <c r="Q35" i="8"/>
  <c r="Q35" i="28" s="1"/>
  <c r="Q87" i="28" s="1"/>
  <c r="Q12" i="8"/>
  <c r="Q12" i="28" s="1"/>
  <c r="Q64" i="28" s="1"/>
  <c r="Q27" i="8"/>
  <c r="Q27" i="28" s="1"/>
  <c r="Q79" i="28" s="1"/>
  <c r="Q18" i="8"/>
  <c r="Q18" i="28" s="1"/>
  <c r="Q70" i="28" s="1"/>
  <c r="Q5" i="8"/>
  <c r="Q28" i="8"/>
  <c r="Q28" i="28" s="1"/>
  <c r="Q80" i="28" s="1"/>
  <c r="Q51" i="8"/>
  <c r="Q51" i="28" s="1"/>
  <c r="Q103" i="28" s="1"/>
  <c r="Q47" i="8"/>
  <c r="Q47" i="28" s="1"/>
  <c r="Q99" i="28" s="1"/>
  <c r="Q7" i="8"/>
  <c r="Q7" i="28" s="1"/>
  <c r="Q59" i="28" s="1"/>
  <c r="Q26" i="8"/>
  <c r="Q26" i="28" s="1"/>
  <c r="Q78" i="28" s="1"/>
  <c r="AH14" i="8"/>
  <c r="AD14" i="28" s="1"/>
  <c r="AD66" i="28" s="1"/>
  <c r="AH10" i="8"/>
  <c r="AD10" i="28" s="1"/>
  <c r="AD62" i="28" s="1"/>
  <c r="W42" i="8"/>
  <c r="V42" i="28" s="1"/>
  <c r="V94" i="28" s="1"/>
  <c r="AD53" i="7"/>
  <c r="O6" i="29"/>
  <c r="O48" i="29" s="1"/>
  <c r="O6" i="12"/>
  <c r="O6" i="13"/>
  <c r="O29" i="12"/>
  <c r="O29" i="29" s="1"/>
  <c r="O71" i="29" s="1"/>
  <c r="O29" i="13"/>
  <c r="O33" i="12"/>
  <c r="O33" i="13"/>
  <c r="O33" i="29" s="1"/>
  <c r="O75" i="29" s="1"/>
  <c r="O31" i="12"/>
  <c r="O31" i="29" s="1"/>
  <c r="O73" i="29" s="1"/>
  <c r="O31" i="13"/>
  <c r="O5" i="29"/>
  <c r="O47" i="29" s="1"/>
  <c r="O5" i="12"/>
  <c r="O43" i="11"/>
  <c r="O5" i="13"/>
  <c r="O36" i="13"/>
  <c r="O36" i="12"/>
  <c r="O36" i="29" s="1"/>
  <c r="O78" i="29" s="1"/>
  <c r="O38" i="12"/>
  <c r="O38" i="29" s="1"/>
  <c r="O80" i="29" s="1"/>
  <c r="O38" i="13"/>
  <c r="O32" i="29"/>
  <c r="O74" i="29" s="1"/>
  <c r="O32" i="12"/>
  <c r="O32" i="13"/>
  <c r="O26" i="12"/>
  <c r="O26" i="29" s="1"/>
  <c r="O68" i="29" s="1"/>
  <c r="O26" i="13"/>
  <c r="AI23" i="8"/>
  <c r="AE23" i="28" s="1"/>
  <c r="AE75" i="28" s="1"/>
  <c r="V13" i="8"/>
  <c r="U13" i="28" s="1"/>
  <c r="U65" i="28" s="1"/>
  <c r="V13" i="9"/>
  <c r="AB13" i="9" s="1"/>
  <c r="V12" i="8"/>
  <c r="V12" i="9"/>
  <c r="AB12" i="9" s="1"/>
  <c r="V50" i="9"/>
  <c r="AB50" i="9" s="1"/>
  <c r="AB50" i="7"/>
  <c r="U6" i="28"/>
  <c r="U58" i="28" s="1"/>
  <c r="AB6" i="7"/>
  <c r="V6" i="8"/>
  <c r="V6" i="9"/>
  <c r="AB6" i="9" s="1"/>
  <c r="AB51" i="7"/>
  <c r="V51" i="9"/>
  <c r="AB51" i="9" s="1"/>
  <c r="V41" i="9"/>
  <c r="AB41" i="9" s="1"/>
  <c r="AB41" i="7"/>
  <c r="AB42" i="7"/>
  <c r="V42" i="8"/>
  <c r="U42" i="28" s="1"/>
  <c r="U94" i="28" s="1"/>
  <c r="V42" i="9"/>
  <c r="AB42" i="9" s="1"/>
  <c r="AB21" i="7"/>
  <c r="V21" i="9"/>
  <c r="U21" i="28" s="1"/>
  <c r="U73" i="28" s="1"/>
  <c r="V21" i="8"/>
  <c r="V39" i="8"/>
  <c r="V39" i="9"/>
  <c r="AB39" i="9" s="1"/>
  <c r="V33" i="9"/>
  <c r="AB33" i="9" s="1"/>
  <c r="V33" i="8"/>
  <c r="U10" i="28"/>
  <c r="U62" i="28" s="1"/>
  <c r="V10" i="9"/>
  <c r="AB10" i="9" s="1"/>
  <c r="V10" i="8"/>
  <c r="V47" i="9"/>
  <c r="AB47" i="7"/>
  <c r="AB16" i="7"/>
  <c r="W27" i="12"/>
  <c r="L7" i="31"/>
  <c r="L13" i="31" s="1"/>
  <c r="U11" i="8"/>
  <c r="T11" i="28" s="1"/>
  <c r="T63" i="28" s="1"/>
  <c r="P41" i="12"/>
  <c r="P41" i="13"/>
  <c r="P41" i="29" s="1"/>
  <c r="P83" i="29" s="1"/>
  <c r="P28" i="13"/>
  <c r="P28" i="29" s="1"/>
  <c r="P70" i="29" s="1"/>
  <c r="P28" i="12"/>
  <c r="P8" i="29"/>
  <c r="P50" i="29" s="1"/>
  <c r="P8" i="12"/>
  <c r="P8" i="13"/>
  <c r="P22" i="12"/>
  <c r="P22" i="29" s="1"/>
  <c r="P64" i="29" s="1"/>
  <c r="P22" i="13"/>
  <c r="P5" i="12"/>
  <c r="P5" i="13"/>
  <c r="P5" i="29" s="1"/>
  <c r="P47" i="29" s="1"/>
  <c r="P43" i="11"/>
  <c r="P38" i="12"/>
  <c r="P38" i="13"/>
  <c r="P38" i="29" s="1"/>
  <c r="P80" i="29" s="1"/>
  <c r="P32" i="29"/>
  <c r="P74" i="29" s="1"/>
  <c r="P32" i="13"/>
  <c r="P32" i="12"/>
  <c r="P34" i="29"/>
  <c r="P76" i="29" s="1"/>
  <c r="P34" i="13"/>
  <c r="P34" i="12"/>
  <c r="P21" i="12"/>
  <c r="P21" i="29" s="1"/>
  <c r="P63" i="29" s="1"/>
  <c r="P21" i="13"/>
  <c r="P15" i="12"/>
  <c r="P15" i="13"/>
  <c r="P15" i="29" s="1"/>
  <c r="P57" i="29" s="1"/>
  <c r="R53" i="9"/>
  <c r="W9" i="11"/>
  <c r="V9" i="12"/>
  <c r="W9" i="12" s="1"/>
  <c r="V9" i="13"/>
  <c r="W9" i="13" s="1"/>
  <c r="V36" i="13"/>
  <c r="W36" i="13" s="1"/>
  <c r="V36" i="12"/>
  <c r="W36" i="12" s="1"/>
  <c r="W40" i="11"/>
  <c r="V40" i="12"/>
  <c r="W40" i="12" s="1"/>
  <c r="V40" i="13"/>
  <c r="W40" i="13" s="1"/>
  <c r="W34" i="11"/>
  <c r="V34" i="12"/>
  <c r="W34" i="12" s="1"/>
  <c r="V34" i="13"/>
  <c r="W34" i="13" s="1"/>
  <c r="W16" i="11"/>
  <c r="V16" i="12"/>
  <c r="W16" i="12" s="1"/>
  <c r="V16" i="13"/>
  <c r="W16" i="13" s="1"/>
  <c r="V43" i="11"/>
  <c r="V5" i="13"/>
  <c r="V5" i="12"/>
  <c r="T5" i="29" s="1"/>
  <c r="T47" i="29" s="1"/>
  <c r="W5" i="11"/>
  <c r="W10" i="11"/>
  <c r="V10" i="12"/>
  <c r="W10" i="12" s="1"/>
  <c r="V10" i="13"/>
  <c r="W10" i="13" s="1"/>
  <c r="W12" i="11"/>
  <c r="V12" i="12"/>
  <c r="W12" i="12" s="1"/>
  <c r="V12" i="13"/>
  <c r="W12" i="13" s="1"/>
  <c r="V6" i="13"/>
  <c r="W6" i="13" s="1"/>
  <c r="W6" i="11"/>
  <c r="V6" i="12"/>
  <c r="W6" i="12" s="1"/>
  <c r="AA22" i="28"/>
  <c r="AA74" i="28" s="1"/>
  <c r="M12" i="13"/>
  <c r="M12" i="12"/>
  <c r="M12" i="29" s="1"/>
  <c r="M54" i="29" s="1"/>
  <c r="M8" i="13"/>
  <c r="M8" i="12"/>
  <c r="M8" i="29" s="1"/>
  <c r="M50" i="29" s="1"/>
  <c r="M27" i="29"/>
  <c r="M69" i="29" s="1"/>
  <c r="M27" i="12"/>
  <c r="M27" i="13"/>
  <c r="M5" i="13"/>
  <c r="M43" i="11"/>
  <c r="M5" i="12"/>
  <c r="M39" i="13"/>
  <c r="M39" i="29" s="1"/>
  <c r="M81" i="29" s="1"/>
  <c r="M39" i="12"/>
  <c r="M34" i="13"/>
  <c r="M34" i="12"/>
  <c r="M34" i="29" s="1"/>
  <c r="M76" i="29" s="1"/>
  <c r="M25" i="12"/>
  <c r="M25" i="13"/>
  <c r="M25" i="29" s="1"/>
  <c r="M67" i="29" s="1"/>
  <c r="M30" i="29"/>
  <c r="M72" i="29" s="1"/>
  <c r="M30" i="12"/>
  <c r="M30" i="13"/>
  <c r="M26" i="13"/>
  <c r="M26" i="29" s="1"/>
  <c r="M68" i="29" s="1"/>
  <c r="M26" i="12"/>
  <c r="M46" i="9"/>
  <c r="M15" i="9"/>
  <c r="M6" i="9"/>
  <c r="M6" i="8"/>
  <c r="M6" i="28" s="1"/>
  <c r="M58" i="28" s="1"/>
  <c r="M24" i="9"/>
  <c r="M30" i="9"/>
  <c r="M9" i="9"/>
  <c r="M14" i="8"/>
  <c r="M14" i="28" s="1"/>
  <c r="M66" i="28" s="1"/>
  <c r="M14" i="9"/>
  <c r="M29" i="9"/>
  <c r="M11" i="9"/>
  <c r="M35" i="9"/>
  <c r="M49" i="9"/>
  <c r="W41" i="8"/>
  <c r="V41" i="28" s="1"/>
  <c r="V93" i="28" s="1"/>
  <c r="W44" i="8"/>
  <c r="V44" i="28" s="1"/>
  <c r="V96" i="28" s="1"/>
  <c r="W18" i="8"/>
  <c r="V18" i="28" s="1"/>
  <c r="V70" i="28" s="1"/>
  <c r="W30" i="8"/>
  <c r="V30" i="28" s="1"/>
  <c r="V82" i="28" s="1"/>
  <c r="W15" i="8"/>
  <c r="V15" i="28" s="1"/>
  <c r="V67" i="28" s="1"/>
  <c r="W7" i="8"/>
  <c r="V7" i="28" s="1"/>
  <c r="V59" i="28" s="1"/>
  <c r="W38" i="8"/>
  <c r="V38" i="28" s="1"/>
  <c r="V90" i="28" s="1"/>
  <c r="W6" i="8"/>
  <c r="V6" i="28" s="1"/>
  <c r="V58" i="28" s="1"/>
  <c r="W21" i="8"/>
  <c r="V21" i="28" s="1"/>
  <c r="V73" i="28" s="1"/>
  <c r="W31" i="8"/>
  <c r="V31" i="28" s="1"/>
  <c r="V83" i="28" s="1"/>
  <c r="W50" i="8"/>
  <c r="V50" i="28" s="1"/>
  <c r="V102" i="28" s="1"/>
  <c r="W11" i="8"/>
  <c r="V11" i="28" s="1"/>
  <c r="V63" i="28" s="1"/>
  <c r="W40" i="8"/>
  <c r="V40" i="28" s="1"/>
  <c r="V92" i="28" s="1"/>
  <c r="W51" i="8"/>
  <c r="V51" i="28" s="1"/>
  <c r="V103" i="28" s="1"/>
  <c r="W25" i="8"/>
  <c r="V25" i="28" s="1"/>
  <c r="V77" i="28" s="1"/>
  <c r="W28" i="8"/>
  <c r="V28" i="28" s="1"/>
  <c r="V80" i="28" s="1"/>
  <c r="W43" i="8"/>
  <c r="V43" i="28" s="1"/>
  <c r="V95" i="28" s="1"/>
  <c r="W16" i="8"/>
  <c r="V16" i="28" s="1"/>
  <c r="V68" i="28" s="1"/>
  <c r="W45" i="8"/>
  <c r="V45" i="28" s="1"/>
  <c r="V97" i="28" s="1"/>
  <c r="W46" i="8"/>
  <c r="V46" i="28" s="1"/>
  <c r="V98" i="28" s="1"/>
  <c r="W36" i="8"/>
  <c r="V36" i="28" s="1"/>
  <c r="V88" i="28" s="1"/>
  <c r="W14" i="8"/>
  <c r="V14" i="28" s="1"/>
  <c r="V66" i="28" s="1"/>
  <c r="W19" i="8"/>
  <c r="V19" i="28" s="1"/>
  <c r="V71" i="28" s="1"/>
  <c r="W23" i="8"/>
  <c r="V23" i="28" s="1"/>
  <c r="V75" i="28" s="1"/>
  <c r="W5" i="8"/>
  <c r="W27" i="8"/>
  <c r="V27" i="28" s="1"/>
  <c r="V79" i="28" s="1"/>
  <c r="W33" i="8"/>
  <c r="V33" i="28" s="1"/>
  <c r="V85" i="28" s="1"/>
  <c r="W8" i="8"/>
  <c r="V8" i="28" s="1"/>
  <c r="V60" i="28" s="1"/>
  <c r="W49" i="8"/>
  <c r="V49" i="28" s="1"/>
  <c r="V101" i="28" s="1"/>
  <c r="W12" i="8"/>
  <c r="V12" i="28" s="1"/>
  <c r="V64" i="28" s="1"/>
  <c r="W24" i="8"/>
  <c r="V24" i="28" s="1"/>
  <c r="V76" i="28" s="1"/>
  <c r="W17" i="8"/>
  <c r="V17" i="28" s="1"/>
  <c r="V69" i="28" s="1"/>
  <c r="W26" i="8"/>
  <c r="V26" i="28" s="1"/>
  <c r="V78" i="28" s="1"/>
  <c r="W47" i="8"/>
  <c r="V47" i="28" s="1"/>
  <c r="V99" i="28" s="1"/>
  <c r="W22" i="8"/>
  <c r="V22" i="28" s="1"/>
  <c r="V74" i="28" s="1"/>
  <c r="W37" i="8"/>
  <c r="V37" i="28" s="1"/>
  <c r="V89" i="28" s="1"/>
  <c r="W9" i="8"/>
  <c r="V9" i="28" s="1"/>
  <c r="V61" i="28" s="1"/>
  <c r="W20" i="8"/>
  <c r="V20" i="28" s="1"/>
  <c r="V72" i="28" s="1"/>
  <c r="W34" i="8"/>
  <c r="V34" i="28" s="1"/>
  <c r="V86" i="28" s="1"/>
  <c r="P53" i="9"/>
  <c r="P11" i="8"/>
  <c r="P11" i="28" s="1"/>
  <c r="P63" i="28" s="1"/>
  <c r="P43" i="8"/>
  <c r="P43" i="28" s="1"/>
  <c r="P95" i="28" s="1"/>
  <c r="AB45" i="7"/>
  <c r="Y45" i="9"/>
  <c r="Y43" i="9"/>
  <c r="Y49" i="9"/>
  <c r="AB49" i="9" s="1"/>
  <c r="Y21" i="9"/>
  <c r="Y51" i="9"/>
  <c r="Y20" i="9"/>
  <c r="AB20" i="9" s="1"/>
  <c r="Y47" i="9"/>
  <c r="AB47" i="9" s="1"/>
  <c r="Y19" i="9"/>
  <c r="AB25" i="7"/>
  <c r="Y25" i="9"/>
  <c r="Y23" i="9"/>
  <c r="AB23" i="9" s="1"/>
  <c r="Y7" i="9"/>
  <c r="AB7" i="9" s="1"/>
  <c r="D9" i="31"/>
  <c r="D11" i="31"/>
  <c r="D7" i="31"/>
  <c r="D13" i="31" s="1"/>
  <c r="AH49" i="8"/>
  <c r="AD49" i="28" s="1"/>
  <c r="AD101" i="28" s="1"/>
  <c r="AH51" i="8"/>
  <c r="AD51" i="28" s="1"/>
  <c r="AD103" i="28" s="1"/>
  <c r="O53" i="9"/>
  <c r="S5" i="29"/>
  <c r="S47" i="29" s="1"/>
  <c r="P28" i="8"/>
  <c r="P36" i="8"/>
  <c r="P36" i="28" s="1"/>
  <c r="P88" i="28" s="1"/>
  <c r="U10" i="8"/>
  <c r="T10" i="28" s="1"/>
  <c r="T62" i="28" s="1"/>
  <c r="AB27" i="9"/>
  <c r="Q9" i="8"/>
  <c r="Q9" i="28" s="1"/>
  <c r="Q61" i="28" s="1"/>
  <c r="Q53" i="9"/>
  <c r="Q34" i="8"/>
  <c r="Q34" i="28" s="1"/>
  <c r="Q86" i="28" s="1"/>
  <c r="O14" i="12"/>
  <c r="O14" i="29" s="1"/>
  <c r="O56" i="29" s="1"/>
  <c r="O14" i="13"/>
  <c r="O41" i="29"/>
  <c r="O83" i="29" s="1"/>
  <c r="O41" i="12"/>
  <c r="O41" i="13"/>
  <c r="O24" i="29"/>
  <c r="O66" i="29" s="1"/>
  <c r="O24" i="12"/>
  <c r="O24" i="13"/>
  <c r="O18" i="13"/>
  <c r="O18" i="12"/>
  <c r="O18" i="29" s="1"/>
  <c r="O60" i="29" s="1"/>
  <c r="O10" i="12"/>
  <c r="O10" i="29" s="1"/>
  <c r="O52" i="29" s="1"/>
  <c r="O10" i="13"/>
  <c r="O27" i="29"/>
  <c r="O69" i="29" s="1"/>
  <c r="O27" i="13"/>
  <c r="O27" i="12"/>
  <c r="O39" i="29"/>
  <c r="O81" i="29" s="1"/>
  <c r="O39" i="12"/>
  <c r="O39" i="13"/>
  <c r="O35" i="13"/>
  <c r="O35" i="12"/>
  <c r="O35" i="29" s="1"/>
  <c r="O77" i="29" s="1"/>
  <c r="O7" i="12"/>
  <c r="O7" i="29" s="1"/>
  <c r="O49" i="29" s="1"/>
  <c r="O7" i="13"/>
  <c r="P14" i="8"/>
  <c r="P14" i="28" s="1"/>
  <c r="P66" i="28" s="1"/>
  <c r="V37" i="8"/>
  <c r="U37" i="28" s="1"/>
  <c r="U89" i="28" s="1"/>
  <c r="AB37" i="7"/>
  <c r="V37" i="9"/>
  <c r="AB37" i="9" s="1"/>
  <c r="V22" i="9"/>
  <c r="AB22" i="9" s="1"/>
  <c r="AB22" i="7"/>
  <c r="V11" i="9"/>
  <c r="AB11" i="9" s="1"/>
  <c r="AB11" i="7"/>
  <c r="U14" i="28"/>
  <c r="U66" i="28" s="1"/>
  <c r="V14" i="9"/>
  <c r="AB14" i="9" s="1"/>
  <c r="AB14" i="7"/>
  <c r="V14" i="8"/>
  <c r="U29" i="28"/>
  <c r="U81" i="28" s="1"/>
  <c r="V29" i="8"/>
  <c r="V29" i="9"/>
  <c r="V8" i="8"/>
  <c r="U8" i="28" s="1"/>
  <c r="U60" i="28" s="1"/>
  <c r="V8" i="9"/>
  <c r="AB8" i="9" s="1"/>
  <c r="V44" i="9"/>
  <c r="AB44" i="9" s="1"/>
  <c r="V44" i="8"/>
  <c r="U44" i="28" s="1"/>
  <c r="U96" i="28" s="1"/>
  <c r="V36" i="9"/>
  <c r="AB36" i="9" s="1"/>
  <c r="AB36" i="7"/>
  <c r="U45" i="28"/>
  <c r="U97" i="28" s="1"/>
  <c r="V45" i="9"/>
  <c r="AB45" i="9" s="1"/>
  <c r="V45" i="8"/>
  <c r="V19" i="8"/>
  <c r="U19" i="28" s="1"/>
  <c r="U71" i="28" s="1"/>
  <c r="V19" i="9"/>
  <c r="AB19" i="9" s="1"/>
  <c r="AB19" i="7"/>
  <c r="V18" i="9"/>
  <c r="AB18" i="9" s="1"/>
  <c r="AB18" i="7"/>
  <c r="AB46" i="7"/>
  <c r="V46" i="8"/>
  <c r="U46" i="28" s="1"/>
  <c r="U98" i="28" s="1"/>
  <c r="V46" i="9"/>
  <c r="AB46" i="9" s="1"/>
  <c r="AB28" i="9"/>
  <c r="AB23" i="7"/>
  <c r="U16" i="8"/>
  <c r="T16" i="28" s="1"/>
  <c r="T68" i="28" s="1"/>
  <c r="U27" i="8"/>
  <c r="T27" i="28" s="1"/>
  <c r="T79" i="28" s="1"/>
  <c r="AM58" i="6"/>
  <c r="AM56" i="9"/>
  <c r="AM56" i="8"/>
  <c r="AM56" i="7"/>
  <c r="T58" i="6"/>
  <c r="T56" i="9"/>
  <c r="T56" i="8"/>
  <c r="T56" i="7"/>
  <c r="T57" i="6"/>
  <c r="T55" i="9"/>
  <c r="T55" i="8"/>
  <c r="T55" i="7"/>
  <c r="L15" i="11"/>
  <c r="L10" i="11"/>
  <c r="L9" i="11"/>
  <c r="L8" i="11"/>
  <c r="L7" i="11"/>
  <c r="L6" i="11"/>
  <c r="L5" i="11"/>
  <c r="L23" i="11"/>
  <c r="L36" i="11"/>
  <c r="L37" i="11"/>
  <c r="L22" i="11"/>
  <c r="L21" i="11"/>
  <c r="L20" i="11"/>
  <c r="L32" i="11"/>
  <c r="L33" i="11"/>
  <c r="L27" i="11"/>
  <c r="L16" i="11"/>
  <c r="L17" i="11"/>
  <c r="L18" i="11"/>
  <c r="L31" i="11"/>
  <c r="L13" i="11"/>
  <c r="L39" i="11"/>
  <c r="L28" i="11"/>
  <c r="L29" i="11"/>
  <c r="L30" i="11"/>
  <c r="L11" i="11"/>
  <c r="L26" i="11"/>
  <c r="L40" i="11"/>
  <c r="L24" i="11"/>
  <c r="L38" i="11"/>
  <c r="L34" i="11"/>
  <c r="L14" i="11"/>
  <c r="L35" i="11"/>
  <c r="L12" i="11"/>
  <c r="L41" i="11"/>
  <c r="L19" i="11"/>
  <c r="L25" i="11"/>
  <c r="Q45" i="11"/>
  <c r="Q45" i="13"/>
  <c r="Q45" i="12"/>
  <c r="Q45" i="10"/>
  <c r="F46" i="5"/>
  <c r="Q46" i="13"/>
  <c r="Q46" i="12"/>
  <c r="Q46" i="11"/>
  <c r="Q46" i="10"/>
  <c r="AM56" i="6"/>
  <c r="AM54" i="9"/>
  <c r="AM54" i="7"/>
  <c r="AM54" i="8" s="1"/>
  <c r="E42" i="5"/>
  <c r="E21" i="5"/>
  <c r="F9" i="31" l="1"/>
  <c r="F7" i="31"/>
  <c r="F13" i="31" s="1"/>
  <c r="F11" i="31"/>
  <c r="I9" i="31"/>
  <c r="I11" i="31"/>
  <c r="I7" i="31"/>
  <c r="I13" i="31" s="1"/>
  <c r="W53" i="8"/>
  <c r="V5" i="28"/>
  <c r="V57" i="28" s="1"/>
  <c r="M43" i="12"/>
  <c r="W5" i="13"/>
  <c r="W43" i="13" s="1"/>
  <c r="V43" i="13"/>
  <c r="T9" i="29"/>
  <c r="T51" i="29" s="1"/>
  <c r="P43" i="12"/>
  <c r="O43" i="12"/>
  <c r="T14" i="29"/>
  <c r="T56" i="29" s="1"/>
  <c r="T24" i="29"/>
  <c r="T66" i="29" s="1"/>
  <c r="T8" i="29"/>
  <c r="T50" i="29" s="1"/>
  <c r="T7" i="29"/>
  <c r="T49" i="29" s="1"/>
  <c r="T11" i="29"/>
  <c r="T53" i="29" s="1"/>
  <c r="T22" i="29"/>
  <c r="T64" i="29" s="1"/>
  <c r="AD6" i="8"/>
  <c r="AA6" i="28"/>
  <c r="AA58" i="28" s="1"/>
  <c r="AD46" i="8"/>
  <c r="AA46" i="28"/>
  <c r="AA98" i="28" s="1"/>
  <c r="AD26" i="8"/>
  <c r="AA26" i="28"/>
  <c r="AA78" i="28" s="1"/>
  <c r="AD36" i="8"/>
  <c r="AA36" i="28"/>
  <c r="AA88" i="28" s="1"/>
  <c r="AD28" i="8"/>
  <c r="AA28" i="28"/>
  <c r="AA80" i="28" s="1"/>
  <c r="AD17" i="8"/>
  <c r="AA17" i="28"/>
  <c r="AA69" i="28" s="1"/>
  <c r="AD39" i="8"/>
  <c r="AA39" i="28"/>
  <c r="AA91" i="28" s="1"/>
  <c r="AD12" i="8"/>
  <c r="AA12" i="28"/>
  <c r="AA64" i="28" s="1"/>
  <c r="AB40" i="9"/>
  <c r="M17" i="8"/>
  <c r="M17" i="28" s="1"/>
  <c r="M69" i="28" s="1"/>
  <c r="T28" i="29"/>
  <c r="T70" i="29" s="1"/>
  <c r="T25" i="29"/>
  <c r="T67" i="29" s="1"/>
  <c r="V27" i="8"/>
  <c r="U27" i="28" s="1"/>
  <c r="U79" i="28" s="1"/>
  <c r="V41" i="8"/>
  <c r="U41" i="28" s="1"/>
  <c r="U93" i="28" s="1"/>
  <c r="V50" i="8"/>
  <c r="U50" i="28" s="1"/>
  <c r="U102" i="28" s="1"/>
  <c r="V7" i="8"/>
  <c r="U7" i="28" s="1"/>
  <c r="U59" i="28" s="1"/>
  <c r="V49" i="8"/>
  <c r="V30" i="8"/>
  <c r="U30" i="28" s="1"/>
  <c r="U82" i="28" s="1"/>
  <c r="V31" i="8"/>
  <c r="U31" i="28" s="1"/>
  <c r="U83" i="28" s="1"/>
  <c r="V18" i="8"/>
  <c r="V11" i="8"/>
  <c r="U11" i="28" s="1"/>
  <c r="U63" i="28" s="1"/>
  <c r="V22" i="8"/>
  <c r="V24" i="8"/>
  <c r="V51" i="8"/>
  <c r="U51" i="28" s="1"/>
  <c r="U103" i="28" s="1"/>
  <c r="V20" i="8"/>
  <c r="U20" i="28" s="1"/>
  <c r="U72" i="28" s="1"/>
  <c r="V35" i="8"/>
  <c r="U35" i="28" s="1"/>
  <c r="U87" i="28" s="1"/>
  <c r="V47" i="8"/>
  <c r="V36" i="8"/>
  <c r="AD5" i="28"/>
  <c r="AD57" i="28" s="1"/>
  <c r="AH53" i="8"/>
  <c r="T45" i="28"/>
  <c r="T97" i="28" s="1"/>
  <c r="T42" i="28"/>
  <c r="T94" i="28" s="1"/>
  <c r="T19" i="28"/>
  <c r="T71" i="28" s="1"/>
  <c r="Y53" i="9"/>
  <c r="T15" i="29"/>
  <c r="T57" i="29" s="1"/>
  <c r="T21" i="29"/>
  <c r="T63" i="29" s="1"/>
  <c r="T26" i="29"/>
  <c r="T68" i="29" s="1"/>
  <c r="R46" i="8"/>
  <c r="R46" i="28" s="1"/>
  <c r="R98" i="28" s="1"/>
  <c r="R29" i="8"/>
  <c r="R22" i="8"/>
  <c r="R14" i="8"/>
  <c r="R14" i="28" s="1"/>
  <c r="R66" i="28" s="1"/>
  <c r="R7" i="8"/>
  <c r="R7" i="28" s="1"/>
  <c r="R59" i="28" s="1"/>
  <c r="R28" i="8"/>
  <c r="R23" i="8"/>
  <c r="R13" i="8"/>
  <c r="R13" i="28" s="1"/>
  <c r="R65" i="28" s="1"/>
  <c r="R27" i="8"/>
  <c r="R6" i="8"/>
  <c r="R6" i="28" s="1"/>
  <c r="R58" i="28" s="1"/>
  <c r="R15" i="8"/>
  <c r="R15" i="28" s="1"/>
  <c r="R67" i="28" s="1"/>
  <c r="R17" i="8"/>
  <c r="R17" i="28" s="1"/>
  <c r="R69" i="28" s="1"/>
  <c r="R9" i="8"/>
  <c r="R9" i="28" s="1"/>
  <c r="R61" i="28" s="1"/>
  <c r="R12" i="8"/>
  <c r="R12" i="28" s="1"/>
  <c r="R64" i="28" s="1"/>
  <c r="R50" i="8"/>
  <c r="R50" i="28" s="1"/>
  <c r="R102" i="28" s="1"/>
  <c r="R25" i="8"/>
  <c r="R25" i="28" s="1"/>
  <c r="R77" i="28" s="1"/>
  <c r="R21" i="8"/>
  <c r="R19" i="8"/>
  <c r="R19" i="28" s="1"/>
  <c r="R71" i="28" s="1"/>
  <c r="R5" i="8"/>
  <c r="R45" i="8"/>
  <c r="R45" i="28" s="1"/>
  <c r="R97" i="28" s="1"/>
  <c r="R38" i="8"/>
  <c r="R38" i="28" s="1"/>
  <c r="R90" i="28" s="1"/>
  <c r="R30" i="8"/>
  <c r="R30" i="28" s="1"/>
  <c r="R82" i="28" s="1"/>
  <c r="R41" i="8"/>
  <c r="R41" i="28" s="1"/>
  <c r="R93" i="28" s="1"/>
  <c r="R33" i="8"/>
  <c r="R33" i="28" s="1"/>
  <c r="R85" i="28" s="1"/>
  <c r="R8" i="8"/>
  <c r="R8" i="28" s="1"/>
  <c r="R60" i="28" s="1"/>
  <c r="R26" i="8"/>
  <c r="R48" i="8"/>
  <c r="R48" i="28" s="1"/>
  <c r="R100" i="28" s="1"/>
  <c r="R35" i="8"/>
  <c r="R35" i="28" s="1"/>
  <c r="R87" i="28" s="1"/>
  <c r="R37" i="8"/>
  <c r="R37" i="28" s="1"/>
  <c r="R89" i="28" s="1"/>
  <c r="R20" i="8"/>
  <c r="R20" i="28" s="1"/>
  <c r="R72" i="28" s="1"/>
  <c r="R18" i="8"/>
  <c r="R18" i="28" s="1"/>
  <c r="R70" i="28" s="1"/>
  <c r="R36" i="8"/>
  <c r="R36" i="28" s="1"/>
  <c r="R88" i="28" s="1"/>
  <c r="R16" i="8"/>
  <c r="R16" i="28" s="1"/>
  <c r="R68" i="28" s="1"/>
  <c r="R11" i="8"/>
  <c r="R11" i="28" s="1"/>
  <c r="R63" i="28" s="1"/>
  <c r="R42" i="8"/>
  <c r="R42" i="28" s="1"/>
  <c r="R94" i="28" s="1"/>
  <c r="R32" i="8"/>
  <c r="R32" i="28" s="1"/>
  <c r="R84" i="28" s="1"/>
  <c r="R51" i="8"/>
  <c r="R51" i="28" s="1"/>
  <c r="R103" i="28" s="1"/>
  <c r="R47" i="8"/>
  <c r="R47" i="28" s="1"/>
  <c r="R99" i="28" s="1"/>
  <c r="R43" i="8"/>
  <c r="R43" i="28" s="1"/>
  <c r="R95" i="28" s="1"/>
  <c r="R40" i="8"/>
  <c r="R40" i="28" s="1"/>
  <c r="R92" i="28" s="1"/>
  <c r="R10" i="8"/>
  <c r="R10" i="28" s="1"/>
  <c r="R62" i="28" s="1"/>
  <c r="R31" i="8"/>
  <c r="R31" i="28" s="1"/>
  <c r="R83" i="28" s="1"/>
  <c r="R44" i="8"/>
  <c r="R44" i="28" s="1"/>
  <c r="R96" i="28" s="1"/>
  <c r="R49" i="8"/>
  <c r="R49" i="28" s="1"/>
  <c r="R101" i="28" s="1"/>
  <c r="R24" i="8"/>
  <c r="R39" i="8"/>
  <c r="R39" i="28" s="1"/>
  <c r="R91" i="28" s="1"/>
  <c r="R34" i="8"/>
  <c r="R34" i="28" s="1"/>
  <c r="R86" i="28" s="1"/>
  <c r="T6" i="29"/>
  <c r="T48" i="29" s="1"/>
  <c r="J9" i="31" s="1"/>
  <c r="T12" i="29"/>
  <c r="T54" i="29" s="1"/>
  <c r="T10" i="29"/>
  <c r="T52" i="29" s="1"/>
  <c r="T36" i="29"/>
  <c r="T78" i="29" s="1"/>
  <c r="U39" i="28"/>
  <c r="U91" i="28" s="1"/>
  <c r="U12" i="28"/>
  <c r="U64" i="28" s="1"/>
  <c r="E9" i="31"/>
  <c r="E11" i="31"/>
  <c r="E7" i="31"/>
  <c r="E13" i="31" s="1"/>
  <c r="AB9" i="9"/>
  <c r="AB30" i="9"/>
  <c r="AD38" i="8"/>
  <c r="AA38" i="28"/>
  <c r="AA90" i="28" s="1"/>
  <c r="AD34" i="8"/>
  <c r="AA34" i="28"/>
  <c r="AA86" i="28" s="1"/>
  <c r="AD49" i="8"/>
  <c r="AA49" i="28"/>
  <c r="AA101" i="28" s="1"/>
  <c r="AD50" i="8"/>
  <c r="AA50" i="28"/>
  <c r="AA102" i="28" s="1"/>
  <c r="AD37" i="8"/>
  <c r="AA37" i="28"/>
  <c r="AA89" i="28" s="1"/>
  <c r="AD45" i="8"/>
  <c r="AA45" i="28"/>
  <c r="AA97" i="28" s="1"/>
  <c r="AD30" i="8"/>
  <c r="AA30" i="28"/>
  <c r="AA82" i="28" s="1"/>
  <c r="AD16" i="8"/>
  <c r="AA16" i="28"/>
  <c r="AA68" i="28" s="1"/>
  <c r="AD7" i="8"/>
  <c r="AA7" i="28"/>
  <c r="AA59" i="28" s="1"/>
  <c r="L5" i="28"/>
  <c r="L57" i="28" s="1"/>
  <c r="L53" i="8"/>
  <c r="T31" i="28"/>
  <c r="T83" i="28" s="1"/>
  <c r="AB53" i="7"/>
  <c r="T28" i="28"/>
  <c r="T80" i="28" s="1"/>
  <c r="T7" i="28"/>
  <c r="T59" i="28" s="1"/>
  <c r="F9" i="30"/>
  <c r="F11" i="30"/>
  <c r="S32" i="8"/>
  <c r="S22" i="8"/>
  <c r="S9" i="8"/>
  <c r="S37" i="8"/>
  <c r="S48" i="8"/>
  <c r="S27" i="8"/>
  <c r="S49" i="8"/>
  <c r="S24" i="8"/>
  <c r="S36" i="8"/>
  <c r="S39" i="8"/>
  <c r="S46" i="8"/>
  <c r="S6" i="8"/>
  <c r="S26" i="8"/>
  <c r="S16" i="8"/>
  <c r="S35" i="8"/>
  <c r="S20" i="8"/>
  <c r="S38" i="8"/>
  <c r="S13" i="8"/>
  <c r="S12" i="8"/>
  <c r="S28" i="8"/>
  <c r="S30" i="8"/>
  <c r="S50" i="8"/>
  <c r="S25" i="8"/>
  <c r="S51" i="8"/>
  <c r="S47" i="8"/>
  <c r="S43" i="8"/>
  <c r="S7" i="8"/>
  <c r="S31" i="8"/>
  <c r="S18" i="8"/>
  <c r="S10" i="8"/>
  <c r="S45" i="8"/>
  <c r="S33" i="8"/>
  <c r="S41" i="8"/>
  <c r="S17" i="8"/>
  <c r="S8" i="8"/>
  <c r="S21" i="8"/>
  <c r="S34" i="8"/>
  <c r="S14" i="8"/>
  <c r="S5" i="8"/>
  <c r="S23" i="8"/>
  <c r="S40" i="8"/>
  <c r="S19" i="8"/>
  <c r="S44" i="8"/>
  <c r="S15" i="8"/>
  <c r="S11" i="8"/>
  <c r="S42" i="8"/>
  <c r="S29" i="8"/>
  <c r="M43" i="13"/>
  <c r="W43" i="11"/>
  <c r="T16" i="29"/>
  <c r="T58" i="29" s="1"/>
  <c r="T34" i="29"/>
  <c r="T76" i="29" s="1"/>
  <c r="T40" i="29"/>
  <c r="T82" i="29" s="1"/>
  <c r="U33" i="28"/>
  <c r="U85" i="28" s="1"/>
  <c r="O43" i="13"/>
  <c r="AB29" i="9"/>
  <c r="T30" i="29"/>
  <c r="T72" i="29" s="1"/>
  <c r="U34" i="28"/>
  <c r="U86" i="28" s="1"/>
  <c r="U9" i="28"/>
  <c r="U61" i="28" s="1"/>
  <c r="K11" i="30" s="1"/>
  <c r="AB25" i="9"/>
  <c r="AD18" i="8"/>
  <c r="AA18" i="28"/>
  <c r="AA70" i="28" s="1"/>
  <c r="AD41" i="8"/>
  <c r="AA41" i="28"/>
  <c r="AA93" i="28" s="1"/>
  <c r="AD20" i="8"/>
  <c r="AA20" i="28"/>
  <c r="AA72" i="28" s="1"/>
  <c r="AD44" i="8"/>
  <c r="AA44" i="28"/>
  <c r="AA96" i="28" s="1"/>
  <c r="AD21" i="8"/>
  <c r="AA21" i="28"/>
  <c r="AA73" i="28" s="1"/>
  <c r="AD5" i="8"/>
  <c r="AD53" i="8" s="1"/>
  <c r="AA5" i="28"/>
  <c r="AA57" i="28" s="1"/>
  <c r="AC53" i="8"/>
  <c r="AD51" i="8"/>
  <c r="AA51" i="28"/>
  <c r="AA103" i="28" s="1"/>
  <c r="AD25" i="8"/>
  <c r="AA25" i="28"/>
  <c r="AA77" i="28" s="1"/>
  <c r="AD31" i="8"/>
  <c r="AA31" i="28"/>
  <c r="AA83" i="28" s="1"/>
  <c r="T8" i="28"/>
  <c r="T60" i="28" s="1"/>
  <c r="M34" i="8"/>
  <c r="M34" i="28" s="1"/>
  <c r="M86" i="28" s="1"/>
  <c r="M33" i="8"/>
  <c r="M33" i="28" s="1"/>
  <c r="M85" i="28" s="1"/>
  <c r="M32" i="8"/>
  <c r="M32" i="28" s="1"/>
  <c r="M84" i="28" s="1"/>
  <c r="M11" i="8"/>
  <c r="M11" i="28" s="1"/>
  <c r="M63" i="28" s="1"/>
  <c r="M12" i="8"/>
  <c r="M12" i="28" s="1"/>
  <c r="M64" i="28" s="1"/>
  <c r="M42" i="8"/>
  <c r="M42" i="28" s="1"/>
  <c r="M94" i="28" s="1"/>
  <c r="M10" i="8"/>
  <c r="M10" i="28" s="1"/>
  <c r="M62" i="28" s="1"/>
  <c r="M38" i="8"/>
  <c r="M38" i="28" s="1"/>
  <c r="M90" i="28" s="1"/>
  <c r="M27" i="8"/>
  <c r="M27" i="28" s="1"/>
  <c r="M79" i="28" s="1"/>
  <c r="M43" i="8"/>
  <c r="M43" i="28" s="1"/>
  <c r="M95" i="28" s="1"/>
  <c r="M41" i="8"/>
  <c r="M41" i="28" s="1"/>
  <c r="M93" i="28" s="1"/>
  <c r="M39" i="8"/>
  <c r="M39" i="28" s="1"/>
  <c r="M91" i="28" s="1"/>
  <c r="M49" i="8"/>
  <c r="M49" i="28" s="1"/>
  <c r="M101" i="28" s="1"/>
  <c r="M30" i="8"/>
  <c r="M30" i="28" s="1"/>
  <c r="M82" i="28" s="1"/>
  <c r="M19" i="8"/>
  <c r="M19" i="28" s="1"/>
  <c r="M71" i="28" s="1"/>
  <c r="M9" i="8"/>
  <c r="M9" i="28" s="1"/>
  <c r="M61" i="28" s="1"/>
  <c r="M8" i="8"/>
  <c r="M8" i="28" s="1"/>
  <c r="M60" i="28" s="1"/>
  <c r="M16" i="8"/>
  <c r="M16" i="28" s="1"/>
  <c r="M68" i="28" s="1"/>
  <c r="M20" i="8"/>
  <c r="M20" i="28" s="1"/>
  <c r="M72" i="28" s="1"/>
  <c r="M15" i="8"/>
  <c r="M15" i="28" s="1"/>
  <c r="M67" i="28" s="1"/>
  <c r="M51" i="8"/>
  <c r="M51" i="28" s="1"/>
  <c r="M103" i="28" s="1"/>
  <c r="M31" i="8"/>
  <c r="M31" i="28" s="1"/>
  <c r="M83" i="28" s="1"/>
  <c r="M37" i="8"/>
  <c r="M37" i="28" s="1"/>
  <c r="M89" i="28" s="1"/>
  <c r="M23" i="8"/>
  <c r="M23" i="28" s="1"/>
  <c r="M75" i="28" s="1"/>
  <c r="M40" i="8"/>
  <c r="M40" i="28" s="1"/>
  <c r="M92" i="28" s="1"/>
  <c r="M5" i="8"/>
  <c r="M50" i="8"/>
  <c r="M50" i="28" s="1"/>
  <c r="M102" i="28" s="1"/>
  <c r="M24" i="8"/>
  <c r="M24" i="28" s="1"/>
  <c r="M76" i="28" s="1"/>
  <c r="M13" i="8"/>
  <c r="M13" i="28" s="1"/>
  <c r="M65" i="28" s="1"/>
  <c r="M7" i="8"/>
  <c r="M7" i="28" s="1"/>
  <c r="M59" i="28" s="1"/>
  <c r="M25" i="8"/>
  <c r="M25" i="28" s="1"/>
  <c r="M77" i="28" s="1"/>
  <c r="M21" i="8"/>
  <c r="M21" i="28" s="1"/>
  <c r="M73" i="28" s="1"/>
  <c r="M18" i="8"/>
  <c r="M18" i="28" s="1"/>
  <c r="M70" i="28" s="1"/>
  <c r="M26" i="8"/>
  <c r="M26" i="28" s="1"/>
  <c r="M78" i="28" s="1"/>
  <c r="M46" i="8"/>
  <c r="M46" i="28" s="1"/>
  <c r="M98" i="28" s="1"/>
  <c r="M22" i="8"/>
  <c r="M22" i="28" s="1"/>
  <c r="M74" i="28" s="1"/>
  <c r="M35" i="8"/>
  <c r="M35" i="28" s="1"/>
  <c r="M87" i="28" s="1"/>
  <c r="M29" i="8"/>
  <c r="M29" i="28" s="1"/>
  <c r="M81" i="28" s="1"/>
  <c r="AE5" i="28"/>
  <c r="AE57" i="28" s="1"/>
  <c r="AI53" i="8"/>
  <c r="AB48" i="9"/>
  <c r="AB32" i="9"/>
  <c r="AB5" i="9"/>
  <c r="V53" i="9"/>
  <c r="AB43" i="9"/>
  <c r="AB48" i="8"/>
  <c r="T48" i="28"/>
  <c r="T100" i="28" s="1"/>
  <c r="T37" i="28"/>
  <c r="T89" i="28" s="1"/>
  <c r="P53" i="8"/>
  <c r="P19" i="28"/>
  <c r="P71" i="28" s="1"/>
  <c r="F7" i="30" s="1"/>
  <c r="F13" i="30" s="1"/>
  <c r="M5" i="29"/>
  <c r="M47" i="29" s="1"/>
  <c r="W5" i="12"/>
  <c r="W43" i="12" s="1"/>
  <c r="V43" i="12"/>
  <c r="P43" i="13"/>
  <c r="AB21" i="9"/>
  <c r="Q53" i="8"/>
  <c r="Q5" i="28"/>
  <c r="Q57" i="28" s="1"/>
  <c r="T33" i="29"/>
  <c r="T75" i="29" s="1"/>
  <c r="T39" i="29"/>
  <c r="T81" i="29" s="1"/>
  <c r="AD15" i="8"/>
  <c r="AA15" i="28"/>
  <c r="AA67" i="28" s="1"/>
  <c r="AD40" i="8"/>
  <c r="AA40" i="28"/>
  <c r="AA92" i="28" s="1"/>
  <c r="AD35" i="8"/>
  <c r="AA35" i="28"/>
  <c r="AA87" i="28" s="1"/>
  <c r="AD14" i="8"/>
  <c r="AA14" i="28"/>
  <c r="AA66" i="28" s="1"/>
  <c r="AD32" i="8"/>
  <c r="AA32" i="28"/>
  <c r="AA84" i="28" s="1"/>
  <c r="AD33" i="8"/>
  <c r="AA33" i="28"/>
  <c r="AA85" i="28" s="1"/>
  <c r="AD47" i="8"/>
  <c r="AA47" i="28"/>
  <c r="AA99" i="28" s="1"/>
  <c r="AD43" i="8"/>
  <c r="AA43" i="28"/>
  <c r="AA95" i="28" s="1"/>
  <c r="AD10" i="8"/>
  <c r="AA10" i="28"/>
  <c r="AA62" i="28" s="1"/>
  <c r="M53" i="9"/>
  <c r="M28" i="8"/>
  <c r="M28" i="28" s="1"/>
  <c r="M80" i="28" s="1"/>
  <c r="M9" i="30"/>
  <c r="M11" i="30"/>
  <c r="M7" i="30"/>
  <c r="M13" i="30" s="1"/>
  <c r="AB16" i="9"/>
  <c r="O53" i="8"/>
  <c r="O5" i="28"/>
  <c r="O57" i="28" s="1"/>
  <c r="T38" i="28"/>
  <c r="T90" i="28" s="1"/>
  <c r="U53" i="8"/>
  <c r="T5" i="28"/>
  <c r="T57" i="28" s="1"/>
  <c r="AB15" i="9"/>
  <c r="Y48" i="8"/>
  <c r="X48" i="28" s="1"/>
  <c r="X100" i="28" s="1"/>
  <c r="Y36" i="8"/>
  <c r="X36" i="28" s="1"/>
  <c r="X88" i="28" s="1"/>
  <c r="Y14" i="8"/>
  <c r="Y40" i="8"/>
  <c r="Y17" i="8"/>
  <c r="Y20" i="8"/>
  <c r="Y37" i="8"/>
  <c r="X37" i="28" s="1"/>
  <c r="X89" i="28" s="1"/>
  <c r="Y47" i="8"/>
  <c r="X47" i="28" s="1"/>
  <c r="X99" i="28" s="1"/>
  <c r="Y26" i="8"/>
  <c r="Y21" i="8"/>
  <c r="Y33" i="8"/>
  <c r="Y25" i="8"/>
  <c r="Y41" i="8"/>
  <c r="Y44" i="8"/>
  <c r="Y27" i="8"/>
  <c r="Y30" i="8"/>
  <c r="Y5" i="8"/>
  <c r="Y49" i="8"/>
  <c r="X49" i="28" s="1"/>
  <c r="X101" i="28" s="1"/>
  <c r="Y7" i="8"/>
  <c r="X7" i="28" s="1"/>
  <c r="X59" i="28" s="1"/>
  <c r="Y43" i="8"/>
  <c r="Y42" i="8"/>
  <c r="X42" i="28" s="1"/>
  <c r="X94" i="28" s="1"/>
  <c r="Y15" i="8"/>
  <c r="Y51" i="8"/>
  <c r="Y12" i="8"/>
  <c r="Y18" i="8"/>
  <c r="X18" i="28" s="1"/>
  <c r="X70" i="28" s="1"/>
  <c r="Y8" i="8"/>
  <c r="X8" i="28" s="1"/>
  <c r="X60" i="28" s="1"/>
  <c r="Y31" i="8"/>
  <c r="X31" i="28" s="1"/>
  <c r="X83" i="28" s="1"/>
  <c r="Y29" i="8"/>
  <c r="Y46" i="8"/>
  <c r="Y19" i="8"/>
  <c r="X19" i="28" s="1"/>
  <c r="X71" i="28" s="1"/>
  <c r="Y28" i="8"/>
  <c r="X28" i="28" s="1"/>
  <c r="X80" i="28" s="1"/>
  <c r="Y24" i="8"/>
  <c r="X24" i="28" s="1"/>
  <c r="X76" i="28" s="1"/>
  <c r="Y50" i="8"/>
  <c r="Y39" i="8"/>
  <c r="Y23" i="8"/>
  <c r="Y45" i="8"/>
  <c r="X45" i="28" s="1"/>
  <c r="X97" i="28" s="1"/>
  <c r="Y22" i="8"/>
  <c r="X22" i="28" s="1"/>
  <c r="X74" i="28" s="1"/>
  <c r="Y34" i="8"/>
  <c r="Y16" i="8"/>
  <c r="Y38" i="8"/>
  <c r="X38" i="28" s="1"/>
  <c r="X90" i="28" s="1"/>
  <c r="Y13" i="8"/>
  <c r="Y32" i="8"/>
  <c r="Y9" i="8"/>
  <c r="Y6" i="8"/>
  <c r="Y35" i="8"/>
  <c r="Y10" i="8"/>
  <c r="Y11" i="8"/>
  <c r="M48" i="8"/>
  <c r="M48" i="28" s="1"/>
  <c r="M100" i="28" s="1"/>
  <c r="T18" i="29"/>
  <c r="T60" i="29" s="1"/>
  <c r="T41" i="29"/>
  <c r="T83" i="29" s="1"/>
  <c r="T31" i="29"/>
  <c r="T73" i="29" s="1"/>
  <c r="T38" i="29"/>
  <c r="T80" i="29" s="1"/>
  <c r="T37" i="29"/>
  <c r="T79" i="29" s="1"/>
  <c r="T35" i="29"/>
  <c r="T77" i="29" s="1"/>
  <c r="Q18" i="11"/>
  <c r="AB18" i="11" s="1"/>
  <c r="L18" i="12"/>
  <c r="Q18" i="12" s="1"/>
  <c r="L18" i="13"/>
  <c r="Q18" i="13" s="1"/>
  <c r="L5" i="12"/>
  <c r="L5" i="29" s="1"/>
  <c r="L47" i="29" s="1"/>
  <c r="L5" i="13"/>
  <c r="L43" i="11"/>
  <c r="Q5" i="11"/>
  <c r="L14" i="12"/>
  <c r="Q14" i="12" s="1"/>
  <c r="L14" i="13"/>
  <c r="Q14" i="13" s="1"/>
  <c r="Q14" i="11"/>
  <c r="AB14" i="11" s="1"/>
  <c r="L38" i="12"/>
  <c r="Q38" i="12" s="1"/>
  <c r="L38" i="13"/>
  <c r="Q38" i="13" s="1"/>
  <c r="Q38" i="11"/>
  <c r="AB38" i="11" s="1"/>
  <c r="L17" i="12"/>
  <c r="Q17" i="12" s="1"/>
  <c r="L17" i="13"/>
  <c r="Q17" i="13" s="1"/>
  <c r="Q17" i="11"/>
  <c r="AB17" i="11" s="1"/>
  <c r="Q6" i="11"/>
  <c r="AB6" i="11" s="1"/>
  <c r="L6" i="12"/>
  <c r="Q6" i="12" s="1"/>
  <c r="L6" i="13"/>
  <c r="Q6" i="13" s="1"/>
  <c r="Q24" i="11"/>
  <c r="AB24" i="11" s="1"/>
  <c r="L24" i="12"/>
  <c r="Q24" i="12" s="1"/>
  <c r="L24" i="13"/>
  <c r="Q24" i="13" s="1"/>
  <c r="Q16" i="11"/>
  <c r="AB16" i="11" s="1"/>
  <c r="L16" i="12"/>
  <c r="Q16" i="12" s="1"/>
  <c r="L16" i="13"/>
  <c r="Q16" i="13" s="1"/>
  <c r="Q7" i="11"/>
  <c r="AB7" i="11" s="1"/>
  <c r="L7" i="12"/>
  <c r="Q7" i="12" s="1"/>
  <c r="L7" i="13"/>
  <c r="Q7" i="13" s="1"/>
  <c r="E43" i="5"/>
  <c r="X45" i="13"/>
  <c r="X45" i="12"/>
  <c r="X45" i="11"/>
  <c r="X48" i="11" s="1"/>
  <c r="X45" i="10"/>
  <c r="Q27" i="11"/>
  <c r="AB27" i="11" s="1"/>
  <c r="L27" i="12"/>
  <c r="Q27" i="12" s="1"/>
  <c r="L27" i="13"/>
  <c r="Q27" i="13" s="1"/>
  <c r="Q9" i="11"/>
  <c r="AB9" i="11" s="1"/>
  <c r="L9" i="12"/>
  <c r="Q9" i="12" s="1"/>
  <c r="L9" i="13"/>
  <c r="Q9" i="13" s="1"/>
  <c r="L34" i="12"/>
  <c r="Q34" i="12" s="1"/>
  <c r="Q34" i="11"/>
  <c r="AB34" i="11" s="1"/>
  <c r="L34" i="13"/>
  <c r="Q34" i="13" s="1"/>
  <c r="Q40" i="11"/>
  <c r="AB40" i="11" s="1"/>
  <c r="L40" i="12"/>
  <c r="Q40" i="12" s="1"/>
  <c r="L40" i="13"/>
  <c r="Q40" i="13" s="1"/>
  <c r="L26" i="12"/>
  <c r="Q26" i="12" s="1"/>
  <c r="L26" i="13"/>
  <c r="Q26" i="13" s="1"/>
  <c r="Q26" i="11"/>
  <c r="AB26" i="11" s="1"/>
  <c r="L11" i="12"/>
  <c r="Q11" i="12" s="1"/>
  <c r="L11" i="13"/>
  <c r="Q11" i="13" s="1"/>
  <c r="Q11" i="11"/>
  <c r="AB11" i="11" s="1"/>
  <c r="L32" i="12"/>
  <c r="Q32" i="12" s="1"/>
  <c r="L32" i="13"/>
  <c r="Q32" i="13" s="1"/>
  <c r="Q32" i="11"/>
  <c r="AB32" i="11" s="1"/>
  <c r="L10" i="12"/>
  <c r="Q10" i="12" s="1"/>
  <c r="Q10" i="11"/>
  <c r="AB10" i="11" s="1"/>
  <c r="L10" i="13"/>
  <c r="Q10" i="13" s="1"/>
  <c r="Q30" i="11"/>
  <c r="AB30" i="11" s="1"/>
  <c r="L30" i="12"/>
  <c r="Q30" i="12" s="1"/>
  <c r="L30" i="13"/>
  <c r="Q30" i="13" s="1"/>
  <c r="L20" i="12"/>
  <c r="Q20" i="12" s="1"/>
  <c r="L20" i="13"/>
  <c r="Q20" i="13" s="1"/>
  <c r="Q20" i="11"/>
  <c r="AB20" i="11" s="1"/>
  <c r="Q15" i="11"/>
  <c r="AB15" i="11" s="1"/>
  <c r="L15" i="12"/>
  <c r="Q15" i="12" s="1"/>
  <c r="L15" i="13"/>
  <c r="Q15" i="13" s="1"/>
  <c r="L23" i="12"/>
  <c r="Q23" i="12" s="1"/>
  <c r="L23" i="13"/>
  <c r="Q23" i="13" s="1"/>
  <c r="Q23" i="11"/>
  <c r="AB23" i="11" s="1"/>
  <c r="L8" i="12"/>
  <c r="Q8" i="12" s="1"/>
  <c r="L8" i="13"/>
  <c r="Q8" i="13" s="1"/>
  <c r="Q8" i="11"/>
  <c r="AB8" i="11" s="1"/>
  <c r="Q33" i="11"/>
  <c r="AB33" i="11" s="1"/>
  <c r="L33" i="12"/>
  <c r="Q33" i="12" s="1"/>
  <c r="L33" i="13"/>
  <c r="Q33" i="13" s="1"/>
  <c r="L29" i="12"/>
  <c r="Q29" i="12" s="1"/>
  <c r="L29" i="13"/>
  <c r="Q29" i="13" s="1"/>
  <c r="Q29" i="11"/>
  <c r="AB29" i="11" s="1"/>
  <c r="L22" i="12"/>
  <c r="Q22" i="12" s="1"/>
  <c r="Q22" i="11"/>
  <c r="AB22" i="11" s="1"/>
  <c r="L22" i="13"/>
  <c r="Q22" i="13" s="1"/>
  <c r="L25" i="12"/>
  <c r="Q25" i="12" s="1"/>
  <c r="Q25" i="11"/>
  <c r="AB25" i="11" s="1"/>
  <c r="L25" i="13"/>
  <c r="Q25" i="13" s="1"/>
  <c r="L19" i="12"/>
  <c r="Q19" i="12" s="1"/>
  <c r="Q19" i="11"/>
  <c r="AB19" i="11" s="1"/>
  <c r="L19" i="13"/>
  <c r="Q19" i="13" s="1"/>
  <c r="Q21" i="11"/>
  <c r="AB21" i="11" s="1"/>
  <c r="L21" i="12"/>
  <c r="Q21" i="12" s="1"/>
  <c r="L21" i="13"/>
  <c r="Q21" i="13" s="1"/>
  <c r="L41" i="12"/>
  <c r="Q41" i="12" s="1"/>
  <c r="L41" i="13"/>
  <c r="Q41" i="13" s="1"/>
  <c r="Q41" i="11"/>
  <c r="AB41" i="11" s="1"/>
  <c r="L28" i="12"/>
  <c r="Q28" i="12" s="1"/>
  <c r="Q28" i="11"/>
  <c r="AB28" i="11" s="1"/>
  <c r="L28" i="13"/>
  <c r="Q28" i="13" s="1"/>
  <c r="Q12" i="11"/>
  <c r="AB12" i="11" s="1"/>
  <c r="L12" i="12"/>
  <c r="Q12" i="12" s="1"/>
  <c r="L12" i="13"/>
  <c r="Q12" i="13" s="1"/>
  <c r="Q39" i="11"/>
  <c r="AB39" i="11" s="1"/>
  <c r="L39" i="12"/>
  <c r="Q39" i="12" s="1"/>
  <c r="L39" i="13"/>
  <c r="Q39" i="13" s="1"/>
  <c r="Q37" i="11"/>
  <c r="AB37" i="11" s="1"/>
  <c r="L37" i="12"/>
  <c r="Q37" i="12" s="1"/>
  <c r="L37" i="13"/>
  <c r="Q37" i="13" s="1"/>
  <c r="L31" i="12"/>
  <c r="Q31" i="12" s="1"/>
  <c r="Q31" i="11"/>
  <c r="AB31" i="11" s="1"/>
  <c r="L31" i="13"/>
  <c r="Q31" i="13" s="1"/>
  <c r="AE55" i="9"/>
  <c r="AE55" i="8"/>
  <c r="AO54" i="8" s="1"/>
  <c r="AE55" i="7"/>
  <c r="AB46" i="13"/>
  <c r="AB46" i="12"/>
  <c r="AB46" i="11"/>
  <c r="AB46" i="10"/>
  <c r="L35" i="12"/>
  <c r="Q35" i="12" s="1"/>
  <c r="L35" i="13"/>
  <c r="Q35" i="13" s="1"/>
  <c r="Q35" i="11"/>
  <c r="AB35" i="11" s="1"/>
  <c r="L13" i="12"/>
  <c r="Q13" i="12" s="1"/>
  <c r="Q13" i="11"/>
  <c r="AB13" i="11" s="1"/>
  <c r="L13" i="13"/>
  <c r="Q13" i="13" s="1"/>
  <c r="Q36" i="11"/>
  <c r="AB36" i="11" s="1"/>
  <c r="L36" i="12"/>
  <c r="Q36" i="12" s="1"/>
  <c r="L36" i="13"/>
  <c r="Q36" i="13" s="1"/>
  <c r="E23" i="5"/>
  <c r="AE57" i="6"/>
  <c r="E47" i="5"/>
  <c r="E29" i="5"/>
  <c r="B11" i="31" l="1"/>
  <c r="AB35" i="8"/>
  <c r="X35" i="28"/>
  <c r="X87" i="28" s="1"/>
  <c r="AB13" i="8"/>
  <c r="X13" i="28"/>
  <c r="X65" i="28" s="1"/>
  <c r="AB50" i="8"/>
  <c r="X50" i="28"/>
  <c r="X102" i="28" s="1"/>
  <c r="AB46" i="8"/>
  <c r="X46" i="28"/>
  <c r="X98" i="28" s="1"/>
  <c r="AB5" i="8"/>
  <c r="X5" i="28"/>
  <c r="X57" i="28" s="1"/>
  <c r="Y53" i="8"/>
  <c r="AB41" i="8"/>
  <c r="X41" i="28"/>
  <c r="X93" i="28" s="1"/>
  <c r="AB26" i="8"/>
  <c r="X26" i="28"/>
  <c r="X78" i="28" s="1"/>
  <c r="AB17" i="8"/>
  <c r="X17" i="28"/>
  <c r="X69" i="28" s="1"/>
  <c r="C9" i="31"/>
  <c r="C11" i="31"/>
  <c r="C7" i="31"/>
  <c r="C13" i="31" s="1"/>
  <c r="L12" i="29"/>
  <c r="L54" i="29" s="1"/>
  <c r="L26" i="29"/>
  <c r="L68" i="29" s="1"/>
  <c r="L14" i="29"/>
  <c r="L56" i="29" s="1"/>
  <c r="AB37" i="8"/>
  <c r="AB8" i="8"/>
  <c r="L28" i="29"/>
  <c r="L70" i="29" s="1"/>
  <c r="S53" i="8"/>
  <c r="K9" i="30"/>
  <c r="L40" i="29"/>
  <c r="L82" i="29" s="1"/>
  <c r="AB19" i="8"/>
  <c r="AB45" i="8"/>
  <c r="AB36" i="8"/>
  <c r="U36" i="28"/>
  <c r="U88" i="28" s="1"/>
  <c r="AB18" i="8"/>
  <c r="U18" i="28"/>
  <c r="U70" i="28" s="1"/>
  <c r="L9" i="30"/>
  <c r="L11" i="30"/>
  <c r="L7" i="30"/>
  <c r="L13" i="30" s="1"/>
  <c r="L20" i="29"/>
  <c r="L62" i="29" s="1"/>
  <c r="L24" i="29"/>
  <c r="L66" i="29" s="1"/>
  <c r="L37" i="29"/>
  <c r="L79" i="29" s="1"/>
  <c r="L31" i="29"/>
  <c r="L73" i="29" s="1"/>
  <c r="AB6" i="8"/>
  <c r="X6" i="28"/>
  <c r="X58" i="28" s="1"/>
  <c r="AB29" i="8"/>
  <c r="X29" i="28"/>
  <c r="X81" i="28" s="1"/>
  <c r="AB12" i="8"/>
  <c r="X12" i="28"/>
  <c r="X64" i="28" s="1"/>
  <c r="AB43" i="8"/>
  <c r="X43" i="28"/>
  <c r="X95" i="28" s="1"/>
  <c r="AB30" i="8"/>
  <c r="X30" i="28"/>
  <c r="X82" i="28" s="1"/>
  <c r="AB25" i="8"/>
  <c r="X25" i="28"/>
  <c r="X77" i="28" s="1"/>
  <c r="AB40" i="8"/>
  <c r="X40" i="28"/>
  <c r="X92" i="28" s="1"/>
  <c r="AB38" i="8"/>
  <c r="L6" i="29"/>
  <c r="L48" i="29" s="1"/>
  <c r="B9" i="31" s="1"/>
  <c r="L41" i="29"/>
  <c r="L83" i="29" s="1"/>
  <c r="AB53" i="9"/>
  <c r="U9" i="30"/>
  <c r="U11" i="30"/>
  <c r="U7" i="30"/>
  <c r="U13" i="30" s="1"/>
  <c r="Q9" i="30"/>
  <c r="Q11" i="30"/>
  <c r="Q7" i="30"/>
  <c r="Q13" i="30" s="1"/>
  <c r="L34" i="29"/>
  <c r="L76" i="29" s="1"/>
  <c r="AB28" i="8"/>
  <c r="B9" i="30"/>
  <c r="B11" i="30"/>
  <c r="B7" i="30"/>
  <c r="B13" i="30" s="1"/>
  <c r="R5" i="28"/>
  <c r="R57" i="28" s="1"/>
  <c r="R53" i="8"/>
  <c r="S58" i="8" s="1"/>
  <c r="AB47" i="8"/>
  <c r="U47" i="28"/>
  <c r="U99" i="28" s="1"/>
  <c r="AB24" i="8"/>
  <c r="U24" i="28"/>
  <c r="U76" i="28" s="1"/>
  <c r="L15" i="29"/>
  <c r="L57" i="29" s="1"/>
  <c r="L16" i="29"/>
  <c r="L58" i="29" s="1"/>
  <c r="L35" i="29"/>
  <c r="L77" i="29" s="1"/>
  <c r="L32" i="29"/>
  <c r="L74" i="29" s="1"/>
  <c r="L19" i="29"/>
  <c r="L61" i="29" s="1"/>
  <c r="J7" i="31"/>
  <c r="J13" i="31" s="1"/>
  <c r="AB11" i="8"/>
  <c r="X11" i="28"/>
  <c r="X63" i="28" s="1"/>
  <c r="AB9" i="8"/>
  <c r="X9" i="28"/>
  <c r="X61" i="28" s="1"/>
  <c r="AB16" i="8"/>
  <c r="X16" i="28"/>
  <c r="X68" i="28" s="1"/>
  <c r="AB23" i="8"/>
  <c r="X23" i="28"/>
  <c r="X75" i="28" s="1"/>
  <c r="AB51" i="8"/>
  <c r="X51" i="28"/>
  <c r="X103" i="28" s="1"/>
  <c r="AB27" i="8"/>
  <c r="X27" i="28"/>
  <c r="X79" i="28" s="1"/>
  <c r="AB33" i="8"/>
  <c r="X33" i="28"/>
  <c r="X85" i="28" s="1"/>
  <c r="AB14" i="8"/>
  <c r="X14" i="28"/>
  <c r="X66" i="28" s="1"/>
  <c r="J9" i="30"/>
  <c r="J11" i="30"/>
  <c r="J7" i="30"/>
  <c r="J13" i="30" s="1"/>
  <c r="E9" i="30"/>
  <c r="E7" i="30"/>
  <c r="E13" i="30" s="1"/>
  <c r="E11" i="30"/>
  <c r="G9" i="30"/>
  <c r="G11" i="30"/>
  <c r="G7" i="30"/>
  <c r="G13" i="30" s="1"/>
  <c r="L17" i="29"/>
  <c r="L59" i="29" s="1"/>
  <c r="L33" i="29"/>
  <c r="L75" i="29" s="1"/>
  <c r="L23" i="29"/>
  <c r="L65" i="29" s="1"/>
  <c r="M5" i="28"/>
  <c r="M57" i="28" s="1"/>
  <c r="M53" i="8"/>
  <c r="L9" i="29"/>
  <c r="L51" i="29" s="1"/>
  <c r="L21" i="29"/>
  <c r="L63" i="29" s="1"/>
  <c r="AB7" i="8"/>
  <c r="AB31" i="8"/>
  <c r="V53" i="8"/>
  <c r="AB22" i="8"/>
  <c r="U22" i="28"/>
  <c r="U74" i="28" s="1"/>
  <c r="K7" i="30" s="1"/>
  <c r="K13" i="30" s="1"/>
  <c r="L7" i="29"/>
  <c r="L49" i="29" s="1"/>
  <c r="L13" i="29"/>
  <c r="L55" i="29" s="1"/>
  <c r="L25" i="29"/>
  <c r="L67" i="29" s="1"/>
  <c r="L39" i="29"/>
  <c r="L81" i="29" s="1"/>
  <c r="J11" i="31"/>
  <c r="AB10" i="8"/>
  <c r="X10" i="28"/>
  <c r="X62" i="28" s="1"/>
  <c r="AB32" i="8"/>
  <c r="X32" i="28"/>
  <c r="X84" i="28" s="1"/>
  <c r="AB34" i="8"/>
  <c r="X34" i="28"/>
  <c r="X86" i="28" s="1"/>
  <c r="AB39" i="8"/>
  <c r="X39" i="28"/>
  <c r="X91" i="28" s="1"/>
  <c r="AB15" i="8"/>
  <c r="X15" i="28"/>
  <c r="X67" i="28" s="1"/>
  <c r="AB44" i="8"/>
  <c r="X44" i="28"/>
  <c r="X96" i="28" s="1"/>
  <c r="AB21" i="8"/>
  <c r="X21" i="28"/>
  <c r="X73" i="28" s="1"/>
  <c r="AB20" i="8"/>
  <c r="X20" i="28"/>
  <c r="X72" i="28" s="1"/>
  <c r="L11" i="29"/>
  <c r="L53" i="29" s="1"/>
  <c r="L18" i="29"/>
  <c r="L60" i="29" s="1"/>
  <c r="L27" i="29"/>
  <c r="L69" i="29" s="1"/>
  <c r="L22" i="29"/>
  <c r="L64" i="29" s="1"/>
  <c r="L29" i="29"/>
  <c r="L71" i="29" s="1"/>
  <c r="L8" i="29"/>
  <c r="L50" i="29" s="1"/>
  <c r="AB42" i="8"/>
  <c r="T9" i="30"/>
  <c r="T11" i="30"/>
  <c r="T7" i="30"/>
  <c r="T13" i="30" s="1"/>
  <c r="U49" i="28"/>
  <c r="U101" i="28" s="1"/>
  <c r="AB49" i="8"/>
  <c r="L36" i="29"/>
  <c r="L78" i="29" s="1"/>
  <c r="L30" i="29"/>
  <c r="L72" i="29" s="1"/>
  <c r="L10" i="29"/>
  <c r="L52" i="29" s="1"/>
  <c r="L38" i="29"/>
  <c r="L80" i="29" s="1"/>
  <c r="X9" i="12"/>
  <c r="Y9" i="12" s="1"/>
  <c r="X9" i="13"/>
  <c r="U9" i="29" s="1"/>
  <c r="U51" i="29" s="1"/>
  <c r="X31" i="12"/>
  <c r="Y31" i="12" s="1"/>
  <c r="X31" i="13"/>
  <c r="X25" i="12"/>
  <c r="Y25" i="12" s="1"/>
  <c r="AB25" i="12" s="1"/>
  <c r="X25" i="13"/>
  <c r="U25" i="29" s="1"/>
  <c r="U67" i="29" s="1"/>
  <c r="X16" i="12"/>
  <c r="Y16" i="12" s="1"/>
  <c r="AB16" i="12" s="1"/>
  <c r="X16" i="13"/>
  <c r="U16" i="29" s="1"/>
  <c r="U58" i="29" s="1"/>
  <c r="X28" i="12"/>
  <c r="Y28" i="12" s="1"/>
  <c r="AB28" i="12" s="1"/>
  <c r="X28" i="13"/>
  <c r="X35" i="12"/>
  <c r="Y35" i="12" s="1"/>
  <c r="AB35" i="12" s="1"/>
  <c r="X35" i="13"/>
  <c r="U35" i="29" s="1"/>
  <c r="U77" i="29" s="1"/>
  <c r="AB31" i="12"/>
  <c r="X30" i="12"/>
  <c r="Y30" i="12" s="1"/>
  <c r="AB30" i="12" s="1"/>
  <c r="X30" i="13"/>
  <c r="U30" i="29" s="1"/>
  <c r="U72" i="29" s="1"/>
  <c r="X27" i="12"/>
  <c r="Y27" i="12" s="1"/>
  <c r="AB27" i="12" s="1"/>
  <c r="X27" i="13"/>
  <c r="X14" i="12"/>
  <c r="Y14" i="12" s="1"/>
  <c r="AB14" i="12" s="1"/>
  <c r="X14" i="13"/>
  <c r="U14" i="29" s="1"/>
  <c r="U56" i="29" s="1"/>
  <c r="X38" i="12"/>
  <c r="Y38" i="12" s="1"/>
  <c r="AB38" i="12" s="1"/>
  <c r="X38" i="13"/>
  <c r="X18" i="12"/>
  <c r="Y18" i="12" s="1"/>
  <c r="X18" i="13"/>
  <c r="U18" i="29" s="1"/>
  <c r="U60" i="29" s="1"/>
  <c r="X22" i="12"/>
  <c r="Y22" i="12" s="1"/>
  <c r="X22" i="13"/>
  <c r="X10" i="12"/>
  <c r="Y10" i="12" s="1"/>
  <c r="AB10" i="12" s="1"/>
  <c r="X10" i="13"/>
  <c r="U10" i="29" s="1"/>
  <c r="U52" i="29" s="1"/>
  <c r="X24" i="12"/>
  <c r="Y24" i="12" s="1"/>
  <c r="AB24" i="12" s="1"/>
  <c r="X24" i="13"/>
  <c r="X37" i="12"/>
  <c r="Y37" i="12" s="1"/>
  <c r="AB37" i="12" s="1"/>
  <c r="X37" i="13"/>
  <c r="U37" i="29" s="1"/>
  <c r="U79" i="29" s="1"/>
  <c r="AB22" i="12"/>
  <c r="X40" i="12"/>
  <c r="Y40" i="12" s="1"/>
  <c r="AB40" i="12" s="1"/>
  <c r="X40" i="13"/>
  <c r="U40" i="29" s="1"/>
  <c r="U82" i="29" s="1"/>
  <c r="AB5" i="11"/>
  <c r="Q43" i="11"/>
  <c r="X33" i="12"/>
  <c r="Y33" i="12" s="1"/>
  <c r="AB33" i="12" s="1"/>
  <c r="X33" i="13"/>
  <c r="U33" i="29" s="1"/>
  <c r="U75" i="29" s="1"/>
  <c r="X29" i="12"/>
  <c r="Y29" i="12" s="1"/>
  <c r="AB29" i="12" s="1"/>
  <c r="X29" i="13"/>
  <c r="U29" i="29" s="1"/>
  <c r="U71" i="29" s="1"/>
  <c r="X32" i="12"/>
  <c r="Y32" i="12" s="1"/>
  <c r="AB32" i="12" s="1"/>
  <c r="X32" i="13"/>
  <c r="U32" i="29" s="1"/>
  <c r="U74" i="29" s="1"/>
  <c r="AG57" i="6"/>
  <c r="AG55" i="9"/>
  <c r="AG55" i="8"/>
  <c r="AG55" i="7"/>
  <c r="AB21" i="12"/>
  <c r="X34" i="12"/>
  <c r="Y34" i="12" s="1"/>
  <c r="AB34" i="12" s="1"/>
  <c r="X34" i="13"/>
  <c r="E46" i="5"/>
  <c r="Y45" i="13"/>
  <c r="Y45" i="12"/>
  <c r="Y45" i="11"/>
  <c r="Y45" i="10"/>
  <c r="X6" i="12"/>
  <c r="Y6" i="12" s="1"/>
  <c r="AB6" i="12" s="1"/>
  <c r="X6" i="13"/>
  <c r="U6" i="29" s="1"/>
  <c r="U48" i="29" s="1"/>
  <c r="L43" i="13"/>
  <c r="Q5" i="13"/>
  <c r="X8" i="12"/>
  <c r="Y8" i="12" s="1"/>
  <c r="AB8" i="12" s="1"/>
  <c r="X8" i="13"/>
  <c r="U8" i="29" s="1"/>
  <c r="U50" i="29" s="1"/>
  <c r="X21" i="12"/>
  <c r="Y21" i="12" s="1"/>
  <c r="X21" i="13"/>
  <c r="U21" i="29" s="1"/>
  <c r="U63" i="29" s="1"/>
  <c r="X15" i="12"/>
  <c r="Y15" i="12" s="1"/>
  <c r="AB15" i="12" s="1"/>
  <c r="X15" i="13"/>
  <c r="U15" i="29" s="1"/>
  <c r="U57" i="29" s="1"/>
  <c r="X17" i="12"/>
  <c r="Y17" i="12" s="1"/>
  <c r="AB17" i="12" s="1"/>
  <c r="X17" i="13"/>
  <c r="U17" i="29" s="1"/>
  <c r="U59" i="29" s="1"/>
  <c r="L43" i="12"/>
  <c r="Q5" i="12"/>
  <c r="X13" i="12"/>
  <c r="Y13" i="12" s="1"/>
  <c r="X13" i="13"/>
  <c r="U13" i="29" s="1"/>
  <c r="U55" i="29" s="1"/>
  <c r="AB13" i="12"/>
  <c r="X23" i="12"/>
  <c r="Y23" i="12" s="1"/>
  <c r="AB23" i="12" s="1"/>
  <c r="X23" i="13"/>
  <c r="U23" i="29" s="1"/>
  <c r="U65" i="29" s="1"/>
  <c r="AM57" i="6"/>
  <c r="AM55" i="9"/>
  <c r="AM55" i="8"/>
  <c r="AM55" i="7"/>
  <c r="X39" i="12"/>
  <c r="Y39" i="12" s="1"/>
  <c r="AB39" i="12" s="1"/>
  <c r="X39" i="13"/>
  <c r="U39" i="29" s="1"/>
  <c r="U81" i="29" s="1"/>
  <c r="X20" i="12"/>
  <c r="Y20" i="12" s="1"/>
  <c r="AB20" i="12" s="1"/>
  <c r="X20" i="13"/>
  <c r="U20" i="29" s="1"/>
  <c r="U62" i="29" s="1"/>
  <c r="X11" i="12"/>
  <c r="Y11" i="12" s="1"/>
  <c r="AB11" i="12" s="1"/>
  <c r="X11" i="13"/>
  <c r="U11" i="29" s="1"/>
  <c r="U53" i="29" s="1"/>
  <c r="X12" i="12"/>
  <c r="Y12" i="12" s="1"/>
  <c r="AB12" i="12" s="1"/>
  <c r="X12" i="13"/>
  <c r="U12" i="29" s="1"/>
  <c r="U54" i="29" s="1"/>
  <c r="X26" i="12"/>
  <c r="Y26" i="12" s="1"/>
  <c r="AB26" i="12" s="1"/>
  <c r="X26" i="13"/>
  <c r="U26" i="29" s="1"/>
  <c r="U68" i="29" s="1"/>
  <c r="X41" i="12"/>
  <c r="Y41" i="12" s="1"/>
  <c r="AB41" i="12" s="1"/>
  <c r="X41" i="13"/>
  <c r="X36" i="12"/>
  <c r="Y36" i="12" s="1"/>
  <c r="AB36" i="12" s="1"/>
  <c r="X36" i="13"/>
  <c r="U36" i="29" s="1"/>
  <c r="U78" i="29" s="1"/>
  <c r="X19" i="12"/>
  <c r="Y19" i="12" s="1"/>
  <c r="AB19" i="12" s="1"/>
  <c r="X19" i="13"/>
  <c r="AB9" i="12"/>
  <c r="X7" i="12"/>
  <c r="Y7" i="12" s="1"/>
  <c r="AB7" i="12" s="1"/>
  <c r="X7" i="13"/>
  <c r="AB18" i="12"/>
  <c r="U7" i="29" l="1"/>
  <c r="U49" i="29" s="1"/>
  <c r="U34" i="29"/>
  <c r="U76" i="29" s="1"/>
  <c r="U24" i="29"/>
  <c r="U66" i="29" s="1"/>
  <c r="U22" i="29"/>
  <c r="U64" i="29" s="1"/>
  <c r="U38" i="29"/>
  <c r="U80" i="29" s="1"/>
  <c r="U27" i="29"/>
  <c r="U69" i="29" s="1"/>
  <c r="U28" i="29"/>
  <c r="U70" i="29" s="1"/>
  <c r="U31" i="29"/>
  <c r="U73" i="29" s="1"/>
  <c r="S50" i="9"/>
  <c r="S50" i="28" s="1"/>
  <c r="S102" i="28" s="1"/>
  <c r="S29" i="9"/>
  <c r="S29" i="28" s="1"/>
  <c r="S81" i="28" s="1"/>
  <c r="S31" i="9"/>
  <c r="S31" i="28" s="1"/>
  <c r="S83" i="28" s="1"/>
  <c r="S51" i="9"/>
  <c r="S51" i="28" s="1"/>
  <c r="S103" i="28" s="1"/>
  <c r="S13" i="9"/>
  <c r="S13" i="28" s="1"/>
  <c r="S65" i="28" s="1"/>
  <c r="S38" i="9"/>
  <c r="S38" i="28" s="1"/>
  <c r="S90" i="28" s="1"/>
  <c r="S9" i="9"/>
  <c r="S9" i="28" s="1"/>
  <c r="S61" i="28" s="1"/>
  <c r="S23" i="9"/>
  <c r="S23" i="28" s="1"/>
  <c r="S75" i="28" s="1"/>
  <c r="S45" i="9"/>
  <c r="S45" i="28" s="1"/>
  <c r="S97" i="28" s="1"/>
  <c r="S49" i="9"/>
  <c r="S49" i="28" s="1"/>
  <c r="S101" i="28" s="1"/>
  <c r="S15" i="9"/>
  <c r="S15" i="28" s="1"/>
  <c r="S67" i="28" s="1"/>
  <c r="S48" i="9"/>
  <c r="S48" i="28" s="1"/>
  <c r="S100" i="28" s="1"/>
  <c r="S32" i="9"/>
  <c r="S32" i="28" s="1"/>
  <c r="S84" i="28" s="1"/>
  <c r="S25" i="9"/>
  <c r="S25" i="28" s="1"/>
  <c r="S77" i="28" s="1"/>
  <c r="S17" i="9"/>
  <c r="S17" i="28" s="1"/>
  <c r="S69" i="28" s="1"/>
  <c r="S26" i="9"/>
  <c r="S26" i="28" s="1"/>
  <c r="S78" i="28" s="1"/>
  <c r="S18" i="9"/>
  <c r="S18" i="28" s="1"/>
  <c r="S70" i="28" s="1"/>
  <c r="S10" i="9"/>
  <c r="S10" i="28" s="1"/>
  <c r="S62" i="28" s="1"/>
  <c r="S35" i="9"/>
  <c r="S35" i="28" s="1"/>
  <c r="S87" i="28" s="1"/>
  <c r="S7" i="9"/>
  <c r="S7" i="28" s="1"/>
  <c r="S59" i="28" s="1"/>
  <c r="S16" i="9"/>
  <c r="S16" i="28" s="1"/>
  <c r="S68" i="28" s="1"/>
  <c r="S27" i="9"/>
  <c r="S27" i="28" s="1"/>
  <c r="S79" i="28" s="1"/>
  <c r="S42" i="9"/>
  <c r="S42" i="28" s="1"/>
  <c r="S94" i="28" s="1"/>
  <c r="S39" i="9"/>
  <c r="S39" i="28" s="1"/>
  <c r="S91" i="28" s="1"/>
  <c r="S41" i="9"/>
  <c r="S41" i="28" s="1"/>
  <c r="S93" i="28" s="1"/>
  <c r="S21" i="9"/>
  <c r="S21" i="28" s="1"/>
  <c r="S73" i="28" s="1"/>
  <c r="S46" i="9"/>
  <c r="S46" i="28" s="1"/>
  <c r="S98" i="28" s="1"/>
  <c r="S44" i="9"/>
  <c r="S44" i="28" s="1"/>
  <c r="S96" i="28" s="1"/>
  <c r="S14" i="9"/>
  <c r="S14" i="28" s="1"/>
  <c r="S66" i="28" s="1"/>
  <c r="S43" i="9"/>
  <c r="S43" i="28" s="1"/>
  <c r="S95" i="28" s="1"/>
  <c r="S40" i="9"/>
  <c r="S40" i="28" s="1"/>
  <c r="S92" i="28" s="1"/>
  <c r="S5" i="9"/>
  <c r="S36" i="9"/>
  <c r="S36" i="28" s="1"/>
  <c r="S88" i="28" s="1"/>
  <c r="S33" i="9"/>
  <c r="S33" i="28" s="1"/>
  <c r="S85" i="28" s="1"/>
  <c r="S20" i="9"/>
  <c r="S20" i="28" s="1"/>
  <c r="S72" i="28" s="1"/>
  <c r="S6" i="9"/>
  <c r="S6" i="28" s="1"/>
  <c r="S58" i="28" s="1"/>
  <c r="S11" i="9"/>
  <c r="S11" i="28" s="1"/>
  <c r="S63" i="28" s="1"/>
  <c r="S34" i="9"/>
  <c r="S34" i="28" s="1"/>
  <c r="S86" i="28" s="1"/>
  <c r="S8" i="9"/>
  <c r="S8" i="28" s="1"/>
  <c r="S60" i="28" s="1"/>
  <c r="S47" i="9"/>
  <c r="S47" i="28" s="1"/>
  <c r="S99" i="28" s="1"/>
  <c r="S22" i="9"/>
  <c r="S22" i="28" s="1"/>
  <c r="S74" i="28" s="1"/>
  <c r="S37" i="9"/>
  <c r="S37" i="28" s="1"/>
  <c r="S89" i="28" s="1"/>
  <c r="S19" i="9"/>
  <c r="S19" i="28" s="1"/>
  <c r="S71" i="28" s="1"/>
  <c r="S12" i="9"/>
  <c r="S12" i="28" s="1"/>
  <c r="S64" i="28" s="1"/>
  <c r="S28" i="9"/>
  <c r="S28" i="28" s="1"/>
  <c r="S80" i="28" s="1"/>
  <c r="S30" i="9"/>
  <c r="S30" i="28" s="1"/>
  <c r="S82" i="28" s="1"/>
  <c r="S24" i="9"/>
  <c r="S24" i="28" s="1"/>
  <c r="S76" i="28" s="1"/>
  <c r="AB53" i="8"/>
  <c r="C9" i="30"/>
  <c r="C11" i="30"/>
  <c r="C7" i="30"/>
  <c r="C13" i="30" s="1"/>
  <c r="H9" i="30"/>
  <c r="H11" i="30"/>
  <c r="H7" i="30"/>
  <c r="H13" i="30" s="1"/>
  <c r="B7" i="31"/>
  <c r="B13" i="31" s="1"/>
  <c r="U19" i="29"/>
  <c r="U61" i="29" s="1"/>
  <c r="U41" i="29"/>
  <c r="U83" i="29" s="1"/>
  <c r="N9" i="30"/>
  <c r="N11" i="30"/>
  <c r="N7" i="30"/>
  <c r="N13" i="30" s="1"/>
  <c r="Y16" i="13"/>
  <c r="AB16" i="13" s="1"/>
  <c r="S10" i="33" s="1"/>
  <c r="Y29" i="13"/>
  <c r="AB29" i="13" s="1"/>
  <c r="S23" i="33" s="1"/>
  <c r="Y38" i="13"/>
  <c r="AB38" i="13" s="1"/>
  <c r="S31" i="33" s="1"/>
  <c r="Y37" i="13"/>
  <c r="AB37" i="13" s="1"/>
  <c r="S29" i="33" s="1"/>
  <c r="Y24" i="13"/>
  <c r="AB24" i="13" s="1"/>
  <c r="S17" i="33" s="1"/>
  <c r="Y30" i="13"/>
  <c r="AB30" i="13" s="1"/>
  <c r="S24" i="33" s="1"/>
  <c r="Y25" i="13"/>
  <c r="AB25" i="13" s="1"/>
  <c r="S18" i="33" s="1"/>
  <c r="Y7" i="13"/>
  <c r="AB7" i="13" s="1"/>
  <c r="S5" i="33" s="1"/>
  <c r="Y27" i="13"/>
  <c r="AB27" i="13" s="1"/>
  <c r="Y8" i="13"/>
  <c r="AB8" i="13" s="1"/>
  <c r="S6" i="33" s="1"/>
  <c r="Y19" i="13"/>
  <c r="AB19" i="13" s="1"/>
  <c r="Y13" i="13"/>
  <c r="AB13" i="13" s="1"/>
  <c r="AA55" i="16" s="1"/>
  <c r="AG55" i="16" s="1"/>
  <c r="Y33" i="13"/>
  <c r="AB33" i="13" s="1"/>
  <c r="Y28" i="13"/>
  <c r="AB28" i="13" s="1"/>
  <c r="S22" i="33" s="1"/>
  <c r="Y15" i="13"/>
  <c r="AB15" i="13" s="1"/>
  <c r="S8" i="33" s="1"/>
  <c r="Y32" i="13"/>
  <c r="AB32" i="13" s="1"/>
  <c r="Y20" i="13"/>
  <c r="AB20" i="13" s="1"/>
  <c r="S12" i="33" s="1"/>
  <c r="Y31" i="13"/>
  <c r="AB31" i="13" s="1"/>
  <c r="Y11" i="13"/>
  <c r="AB11" i="13" s="1"/>
  <c r="S11" i="33" s="1"/>
  <c r="Y22" i="13"/>
  <c r="AB22" i="13" s="1"/>
  <c r="S14" i="33" s="1"/>
  <c r="Y36" i="13"/>
  <c r="AB36" i="13" s="1"/>
  <c r="S28" i="33" s="1"/>
  <c r="Y26" i="13"/>
  <c r="AB26" i="13" s="1"/>
  <c r="S19" i="33" s="1"/>
  <c r="Y14" i="13"/>
  <c r="AB14" i="13" s="1"/>
  <c r="AA37" i="17" s="1"/>
  <c r="Y23" i="13"/>
  <c r="AB23" i="13" s="1"/>
  <c r="Y34" i="13"/>
  <c r="AB34" i="13" s="1"/>
  <c r="Y6" i="13"/>
  <c r="AB6" i="13" s="1"/>
  <c r="Y18" i="13"/>
  <c r="AB18" i="13" s="1"/>
  <c r="Y35" i="13"/>
  <c r="AB35" i="13" s="1"/>
  <c r="S27" i="33" s="1"/>
  <c r="Y9" i="13"/>
  <c r="AB9" i="13" s="1"/>
  <c r="S7" i="33" s="1"/>
  <c r="Y12" i="13"/>
  <c r="AB12" i="13" s="1"/>
  <c r="AA42" i="16" s="1"/>
  <c r="AG42" i="16" s="1"/>
  <c r="Y21" i="13"/>
  <c r="AB21" i="13" s="1"/>
  <c r="S13" i="33" s="1"/>
  <c r="Y10" i="13"/>
  <c r="AB10" i="13" s="1"/>
  <c r="S9" i="33" s="1"/>
  <c r="Y39" i="13"/>
  <c r="AB39" i="13" s="1"/>
  <c r="S30" i="33" s="1"/>
  <c r="Y41" i="13"/>
  <c r="AB41" i="13" s="1"/>
  <c r="S33" i="33" s="1"/>
  <c r="Y17" i="13"/>
  <c r="AB17" i="13" s="1"/>
  <c r="Y40" i="13"/>
  <c r="AB40" i="13" s="1"/>
  <c r="S32" i="33" s="1"/>
  <c r="AA162" i="16"/>
  <c r="AG162" i="16" s="1"/>
  <c r="AA154" i="16"/>
  <c r="AG154" i="16" s="1"/>
  <c r="AA75" i="17"/>
  <c r="AA77" i="17"/>
  <c r="AA79" i="17"/>
  <c r="AA70" i="17"/>
  <c r="AA161" i="16"/>
  <c r="AG161" i="16" s="1"/>
  <c r="AA153" i="16"/>
  <c r="AG153" i="16" s="1"/>
  <c r="AA76" i="17"/>
  <c r="AA72" i="17"/>
  <c r="AA78" i="17"/>
  <c r="AA69" i="17"/>
  <c r="AA159" i="16"/>
  <c r="AG159" i="16" s="1"/>
  <c r="AA151" i="16"/>
  <c r="AG151" i="16" s="1"/>
  <c r="AA71" i="17"/>
  <c r="AA74" i="17"/>
  <c r="AA73" i="17"/>
  <c r="AA156" i="16"/>
  <c r="AG156" i="16" s="1"/>
  <c r="AA141" i="16"/>
  <c r="L141" i="27" s="1"/>
  <c r="O141" i="27" s="1"/>
  <c r="AA117" i="16"/>
  <c r="L117" i="27" s="1"/>
  <c r="O117" i="27" s="1"/>
  <c r="AA105" i="16"/>
  <c r="L105" i="27" s="1"/>
  <c r="O105" i="27" s="1"/>
  <c r="AA93" i="16"/>
  <c r="L93" i="27" s="1"/>
  <c r="O93" i="27" s="1"/>
  <c r="AA140" i="16"/>
  <c r="L140" i="27" s="1"/>
  <c r="O140" i="27" s="1"/>
  <c r="AA128" i="16"/>
  <c r="L128" i="27" s="1"/>
  <c r="O128" i="27" s="1"/>
  <c r="AA116" i="16"/>
  <c r="L116" i="27" s="1"/>
  <c r="O116" i="27" s="1"/>
  <c r="AA92" i="16"/>
  <c r="L92" i="27" s="1"/>
  <c r="O92" i="27" s="1"/>
  <c r="AA139" i="16"/>
  <c r="L139" i="27" s="1"/>
  <c r="O139" i="27" s="1"/>
  <c r="AA127" i="16"/>
  <c r="L127" i="27" s="1"/>
  <c r="O127" i="27" s="1"/>
  <c r="AA103" i="16"/>
  <c r="L103" i="27" s="1"/>
  <c r="O103" i="27" s="1"/>
  <c r="AA91" i="16"/>
  <c r="L91" i="27" s="1"/>
  <c r="AA148" i="16"/>
  <c r="L148" i="27" s="1"/>
  <c r="O148" i="27" s="1"/>
  <c r="AA130" i="16"/>
  <c r="L130" i="27" s="1"/>
  <c r="O130" i="27" s="1"/>
  <c r="AA150" i="16"/>
  <c r="AA138" i="16"/>
  <c r="L138" i="27" s="1"/>
  <c r="O138" i="27" s="1"/>
  <c r="AA114" i="16"/>
  <c r="L114" i="27" s="1"/>
  <c r="O114" i="27" s="1"/>
  <c r="AA102" i="16"/>
  <c r="L102" i="27" s="1"/>
  <c r="O102" i="27" s="1"/>
  <c r="AA149" i="16"/>
  <c r="L149" i="27" s="1"/>
  <c r="O149" i="27" s="1"/>
  <c r="AA125" i="16"/>
  <c r="L125" i="27" s="1"/>
  <c r="O125" i="27" s="1"/>
  <c r="AA113" i="16"/>
  <c r="L113" i="27" s="1"/>
  <c r="O113" i="27" s="1"/>
  <c r="AA101" i="16"/>
  <c r="L101" i="27" s="1"/>
  <c r="O101" i="27" s="1"/>
  <c r="AA112" i="16"/>
  <c r="L112" i="27" s="1"/>
  <c r="O112" i="27" s="1"/>
  <c r="AA118" i="16"/>
  <c r="L118" i="27" s="1"/>
  <c r="O118" i="27" s="1"/>
  <c r="AA135" i="16"/>
  <c r="L135" i="27" s="1"/>
  <c r="O135" i="27" s="1"/>
  <c r="AA123" i="16"/>
  <c r="L123" i="27" s="1"/>
  <c r="O123" i="27" s="1"/>
  <c r="AA111" i="16"/>
  <c r="L111" i="27" s="1"/>
  <c r="O111" i="27" s="1"/>
  <c r="AA120" i="16"/>
  <c r="L120" i="27" s="1"/>
  <c r="O120" i="27" s="1"/>
  <c r="AA96" i="16"/>
  <c r="L96" i="27" s="1"/>
  <c r="O96" i="27" s="1"/>
  <c r="AA94" i="16"/>
  <c r="L94" i="27" s="1"/>
  <c r="O94" i="27" s="1"/>
  <c r="AA134" i="16"/>
  <c r="L134" i="27" s="1"/>
  <c r="O134" i="27" s="1"/>
  <c r="AA122" i="16"/>
  <c r="L122" i="27" s="1"/>
  <c r="O122" i="27" s="1"/>
  <c r="AA110" i="16"/>
  <c r="L110" i="27" s="1"/>
  <c r="O110" i="27" s="1"/>
  <c r="AA132" i="16"/>
  <c r="L132" i="27" s="1"/>
  <c r="O132" i="27" s="1"/>
  <c r="AA108" i="16"/>
  <c r="L108" i="27" s="1"/>
  <c r="O108" i="27" s="1"/>
  <c r="AA142" i="16"/>
  <c r="L142" i="27" s="1"/>
  <c r="O142" i="27" s="1"/>
  <c r="AA133" i="16"/>
  <c r="L133" i="27" s="1"/>
  <c r="O133" i="27" s="1"/>
  <c r="AA121" i="16"/>
  <c r="L121" i="27" s="1"/>
  <c r="O121" i="27" s="1"/>
  <c r="AA109" i="16"/>
  <c r="L109" i="27" s="1"/>
  <c r="O109" i="27" s="1"/>
  <c r="AA97" i="16"/>
  <c r="L97" i="27" s="1"/>
  <c r="O97" i="27" s="1"/>
  <c r="AA144" i="16"/>
  <c r="L144" i="27" s="1"/>
  <c r="O144" i="27" s="1"/>
  <c r="AA106" i="16"/>
  <c r="L106" i="27" s="1"/>
  <c r="O106" i="27" s="1"/>
  <c r="AA143" i="16"/>
  <c r="L143" i="27" s="1"/>
  <c r="O143" i="27" s="1"/>
  <c r="AA131" i="16"/>
  <c r="L131" i="27" s="1"/>
  <c r="O131" i="27" s="1"/>
  <c r="AA119" i="16"/>
  <c r="L119" i="27" s="1"/>
  <c r="O119" i="27" s="1"/>
  <c r="AA107" i="16"/>
  <c r="L107" i="27" s="1"/>
  <c r="O107" i="27" s="1"/>
  <c r="AA95" i="16"/>
  <c r="L95" i="27" s="1"/>
  <c r="O95" i="27" s="1"/>
  <c r="AA61" i="16"/>
  <c r="AG61" i="16" s="1"/>
  <c r="AA15" i="17"/>
  <c r="AA33" i="16"/>
  <c r="AG33" i="16" s="1"/>
  <c r="AA4" i="17"/>
  <c r="AA30" i="16"/>
  <c r="AG30" i="16" s="1"/>
  <c r="AA28" i="16"/>
  <c r="AG28" i="16" s="1"/>
  <c r="AA9" i="17"/>
  <c r="AA6" i="17"/>
  <c r="AA3" i="17"/>
  <c r="AA11" i="17"/>
  <c r="AA5" i="17"/>
  <c r="Q43" i="12"/>
  <c r="AB45" i="11"/>
  <c r="AB45" i="12"/>
  <c r="AB45" i="10"/>
  <c r="AB45" i="13"/>
  <c r="Q43" i="13"/>
  <c r="AB43" i="11"/>
  <c r="X5" i="12"/>
  <c r="X5" i="13"/>
  <c r="U5" i="29" s="1"/>
  <c r="U47" i="29" s="1"/>
  <c r="AA70" i="16" l="1"/>
  <c r="AG70" i="16" s="1"/>
  <c r="S21" i="33"/>
  <c r="S26" i="33"/>
  <c r="S16" i="33"/>
  <c r="S25" i="33"/>
  <c r="S15" i="33"/>
  <c r="S20" i="33"/>
  <c r="G6" i="33"/>
  <c r="G11" i="33"/>
  <c r="AA26" i="16"/>
  <c r="AG26" i="16" s="1"/>
  <c r="AA12" i="17"/>
  <c r="AA10" i="17"/>
  <c r="AA65" i="16"/>
  <c r="AG65" i="16" s="1"/>
  <c r="AA145" i="16"/>
  <c r="L145" i="27" s="1"/>
  <c r="O145" i="27" s="1"/>
  <c r="AA98" i="16"/>
  <c r="L98" i="27" s="1"/>
  <c r="O98" i="27" s="1"/>
  <c r="AA146" i="16"/>
  <c r="L146" i="27" s="1"/>
  <c r="O146" i="27" s="1"/>
  <c r="AA99" i="16"/>
  <c r="L99" i="27" s="1"/>
  <c r="O99" i="27" s="1"/>
  <c r="AA147" i="16"/>
  <c r="L147" i="27" s="1"/>
  <c r="O147" i="27" s="1"/>
  <c r="AA136" i="16"/>
  <c r="L136" i="27" s="1"/>
  <c r="O136" i="27" s="1"/>
  <c r="AA137" i="16"/>
  <c r="L137" i="27" s="1"/>
  <c r="O137" i="27" s="1"/>
  <c r="AA126" i="16"/>
  <c r="L126" i="27" s="1"/>
  <c r="O126" i="27" s="1"/>
  <c r="AA100" i="16"/>
  <c r="L100" i="27" s="1"/>
  <c r="O100" i="27" s="1"/>
  <c r="AA115" i="16"/>
  <c r="L115" i="27" s="1"/>
  <c r="O115" i="27" s="1"/>
  <c r="AA104" i="16"/>
  <c r="L104" i="27" s="1"/>
  <c r="O104" i="27" s="1"/>
  <c r="AA124" i="16"/>
  <c r="L124" i="27" s="1"/>
  <c r="O124" i="27" s="1"/>
  <c r="AA129" i="16"/>
  <c r="L129" i="27" s="1"/>
  <c r="O129" i="27" s="1"/>
  <c r="AA160" i="16"/>
  <c r="AG160" i="16" s="1"/>
  <c r="AA155" i="16"/>
  <c r="AG155" i="16" s="1"/>
  <c r="AA152" i="16"/>
  <c r="AG152" i="16" s="1"/>
  <c r="AA157" i="16"/>
  <c r="AG157" i="16" s="1"/>
  <c r="AA68" i="17"/>
  <c r="AA158" i="16"/>
  <c r="AG158" i="16" s="1"/>
  <c r="S53" i="9"/>
  <c r="S5" i="28"/>
  <c r="S57" i="28" s="1"/>
  <c r="AA48" i="16"/>
  <c r="AG48" i="16" s="1"/>
  <c r="AA30" i="17"/>
  <c r="AA72" i="16"/>
  <c r="AG72" i="16" s="1"/>
  <c r="AA52" i="16"/>
  <c r="AG52" i="16" s="1"/>
  <c r="AA7" i="16"/>
  <c r="L7" i="27" s="1"/>
  <c r="O7" i="27" s="1"/>
  <c r="AA49" i="16"/>
  <c r="AG49" i="16" s="1"/>
  <c r="AA22" i="17"/>
  <c r="AA47" i="16"/>
  <c r="AG47" i="16" s="1"/>
  <c r="AA50" i="16"/>
  <c r="AG50" i="16" s="1"/>
  <c r="AA25" i="17"/>
  <c r="AA88" i="16"/>
  <c r="AG88" i="16" s="1"/>
  <c r="AA79" i="16"/>
  <c r="AG79" i="16" s="1"/>
  <c r="AA32" i="17"/>
  <c r="AA24" i="17"/>
  <c r="AA28" i="17"/>
  <c r="AA56" i="17"/>
  <c r="K9" i="31"/>
  <c r="M9" i="31" s="1"/>
  <c r="K11" i="31"/>
  <c r="M11" i="31" s="1"/>
  <c r="K7" i="31"/>
  <c r="AA11" i="16"/>
  <c r="L11" i="27" s="1"/>
  <c r="O11" i="27" s="1"/>
  <c r="AA165" i="16"/>
  <c r="L165" i="27" s="1"/>
  <c r="O165" i="27" s="1"/>
  <c r="AA167" i="16"/>
  <c r="L167" i="27" s="1"/>
  <c r="O167" i="27" s="1"/>
  <c r="AA12" i="16"/>
  <c r="L12" i="27" s="1"/>
  <c r="O12" i="27" s="1"/>
  <c r="L161" i="27"/>
  <c r="O161" i="27" s="1"/>
  <c r="L157" i="27"/>
  <c r="L153" i="27"/>
  <c r="O153" i="27" s="1"/>
  <c r="L162" i="27"/>
  <c r="O162" i="27" s="1"/>
  <c r="L158" i="27"/>
  <c r="L154" i="27"/>
  <c r="O154" i="27" s="1"/>
  <c r="L159" i="27"/>
  <c r="O159" i="27" s="1"/>
  <c r="L155" i="27"/>
  <c r="L151" i="27"/>
  <c r="O151" i="27" s="1"/>
  <c r="L156" i="27"/>
  <c r="O156" i="27" s="1"/>
  <c r="L150" i="27"/>
  <c r="O150" i="27" s="1"/>
  <c r="L152" i="27"/>
  <c r="O152" i="27" s="1"/>
  <c r="L160" i="27"/>
  <c r="O91" i="27"/>
  <c r="AA164" i="16"/>
  <c r="L164" i="27" s="1"/>
  <c r="O164" i="27" s="1"/>
  <c r="AA44" i="16"/>
  <c r="AG44" i="16" s="1"/>
  <c r="AA18" i="16"/>
  <c r="L18" i="27" s="1"/>
  <c r="O18" i="27" s="1"/>
  <c r="AA64" i="16"/>
  <c r="AG64" i="16" s="1"/>
  <c r="AA73" i="16"/>
  <c r="AG73" i="16" s="1"/>
  <c r="AA46" i="17"/>
  <c r="AA37" i="16"/>
  <c r="AG37" i="16" s="1"/>
  <c r="AA14" i="16"/>
  <c r="L14" i="27" s="1"/>
  <c r="O14" i="27" s="1"/>
  <c r="AA9" i="16"/>
  <c r="L9" i="27" s="1"/>
  <c r="O9" i="27" s="1"/>
  <c r="AA59" i="16"/>
  <c r="AG59" i="16" s="1"/>
  <c r="AA43" i="17"/>
  <c r="AA51" i="17"/>
  <c r="AA81" i="16"/>
  <c r="AG81" i="16" s="1"/>
  <c r="AA171" i="16"/>
  <c r="L171" i="27" s="1"/>
  <c r="O171" i="27" s="1"/>
  <c r="AA14" i="17"/>
  <c r="AA40" i="16"/>
  <c r="AG40" i="16" s="1"/>
  <c r="AA23" i="16"/>
  <c r="L23" i="27" s="1"/>
  <c r="O23" i="27" s="1"/>
  <c r="AA15" i="16"/>
  <c r="L15" i="27" s="1"/>
  <c r="O15" i="27" s="1"/>
  <c r="AA4" i="16"/>
  <c r="L4" i="27" s="1"/>
  <c r="O4" i="27" s="1"/>
  <c r="AA26" i="17"/>
  <c r="AA46" i="16"/>
  <c r="AG46" i="16" s="1"/>
  <c r="AA54" i="16"/>
  <c r="AG54" i="16" s="1"/>
  <c r="AA31" i="17"/>
  <c r="AA58" i="16"/>
  <c r="AG58" i="16" s="1"/>
  <c r="AA57" i="16"/>
  <c r="AG57" i="16" s="1"/>
  <c r="AA85" i="16"/>
  <c r="AG85" i="16" s="1"/>
  <c r="AA57" i="17"/>
  <c r="AA49" i="17"/>
  <c r="AA163" i="16"/>
  <c r="AA17" i="17"/>
  <c r="AA13" i="17"/>
  <c r="AA24" i="16"/>
  <c r="L24" i="27" s="1"/>
  <c r="O24" i="27" s="1"/>
  <c r="AA17" i="16"/>
  <c r="L17" i="27" s="1"/>
  <c r="O17" i="27" s="1"/>
  <c r="AA20" i="16"/>
  <c r="L20" i="27" s="1"/>
  <c r="O20" i="27" s="1"/>
  <c r="AA44" i="17"/>
  <c r="AA82" i="16"/>
  <c r="AG82" i="16" s="1"/>
  <c r="AA66" i="17"/>
  <c r="AA58" i="17"/>
  <c r="AA35" i="17"/>
  <c r="AA34" i="17"/>
  <c r="AA172" i="16"/>
  <c r="L172" i="27" s="1"/>
  <c r="O172" i="27" s="1"/>
  <c r="AA20" i="17"/>
  <c r="AA13" i="16"/>
  <c r="L13" i="27" s="1"/>
  <c r="O13" i="27" s="1"/>
  <c r="AA19" i="16"/>
  <c r="AA38" i="17"/>
  <c r="AA40" i="17"/>
  <c r="AA74" i="16"/>
  <c r="AG74" i="16" s="1"/>
  <c r="AA52" i="17"/>
  <c r="AA35" i="16"/>
  <c r="AG35" i="16" s="1"/>
  <c r="AA29" i="16"/>
  <c r="AG29" i="16" s="1"/>
  <c r="AA36" i="16"/>
  <c r="AG36" i="16" s="1"/>
  <c r="AA2" i="16"/>
  <c r="AA8" i="16"/>
  <c r="L8" i="27" s="1"/>
  <c r="O8" i="27" s="1"/>
  <c r="AA62" i="16"/>
  <c r="AG62" i="16" s="1"/>
  <c r="AA56" i="16"/>
  <c r="AA87" i="16"/>
  <c r="AG87" i="16" s="1"/>
  <c r="AA68" i="16"/>
  <c r="AG68" i="16" s="1"/>
  <c r="AA8" i="17"/>
  <c r="AA31" i="16"/>
  <c r="AG31" i="16" s="1"/>
  <c r="AA21" i="17"/>
  <c r="AA10" i="16"/>
  <c r="L10" i="27" s="1"/>
  <c r="O10" i="27" s="1"/>
  <c r="AA16" i="16"/>
  <c r="L16" i="27" s="1"/>
  <c r="O16" i="27" s="1"/>
  <c r="AA63" i="16"/>
  <c r="AG63" i="16" s="1"/>
  <c r="AA71" i="16"/>
  <c r="AG71" i="16" s="1"/>
  <c r="AA54" i="17"/>
  <c r="AA69" i="16"/>
  <c r="AG69" i="16" s="1"/>
  <c r="AA33" i="17"/>
  <c r="AA34" i="16"/>
  <c r="AG34" i="16" s="1"/>
  <c r="AA7" i="17"/>
  <c r="AA43" i="16"/>
  <c r="AG43" i="16" s="1"/>
  <c r="AA3" i="16"/>
  <c r="L3" i="27" s="1"/>
  <c r="O3" i="27" s="1"/>
  <c r="AA21" i="16"/>
  <c r="L21" i="27" s="1"/>
  <c r="O21" i="27" s="1"/>
  <c r="AA36" i="17"/>
  <c r="AA50" i="17"/>
  <c r="AA60" i="17"/>
  <c r="AA39" i="17"/>
  <c r="AA168" i="16"/>
  <c r="L168" i="27" s="1"/>
  <c r="O168" i="27" s="1"/>
  <c r="AA27" i="16"/>
  <c r="AG27" i="16" s="1"/>
  <c r="AA32" i="16"/>
  <c r="AG32" i="16" s="1"/>
  <c r="AA16" i="17"/>
  <c r="AA5" i="16"/>
  <c r="L5" i="27" s="1"/>
  <c r="O5" i="27" s="1"/>
  <c r="AA42" i="17"/>
  <c r="AA65" i="17"/>
  <c r="AA78" i="16"/>
  <c r="AG78" i="16" s="1"/>
  <c r="AA166" i="16"/>
  <c r="AA38" i="16"/>
  <c r="AG38" i="16" s="1"/>
  <c r="AA19" i="17"/>
  <c r="AA51" i="16"/>
  <c r="AG51" i="16" s="1"/>
  <c r="AA45" i="16"/>
  <c r="AG45" i="16" s="1"/>
  <c r="AA83" i="16"/>
  <c r="AG83" i="16" s="1"/>
  <c r="AA84" i="16"/>
  <c r="AG84" i="16" s="1"/>
  <c r="AA63" i="17"/>
  <c r="AA55" i="17"/>
  <c r="AA169" i="16"/>
  <c r="AA39" i="16"/>
  <c r="AG39" i="16" s="1"/>
  <c r="AA27" i="17"/>
  <c r="AA47" i="17"/>
  <c r="AA86" i="16"/>
  <c r="AG86" i="16" s="1"/>
  <c r="AA77" i="16"/>
  <c r="AG77" i="16" s="1"/>
  <c r="AA61" i="17"/>
  <c r="AA64" i="17"/>
  <c r="AA89" i="16"/>
  <c r="AG89" i="16" s="1"/>
  <c r="AA170" i="16"/>
  <c r="AA18" i="17"/>
  <c r="AA2" i="17"/>
  <c r="AA6" i="16"/>
  <c r="AA23" i="17"/>
  <c r="AA53" i="16"/>
  <c r="AG53" i="16" s="1"/>
  <c r="AA41" i="17"/>
  <c r="AA66" i="16"/>
  <c r="AG66" i="16" s="1"/>
  <c r="AA53" i="17"/>
  <c r="AA75" i="16"/>
  <c r="AG75" i="16" s="1"/>
  <c r="AA76" i="16"/>
  <c r="AG76" i="16" s="1"/>
  <c r="AA67" i="17"/>
  <c r="AA173" i="16"/>
  <c r="AA41" i="16"/>
  <c r="AG41" i="16" s="1"/>
  <c r="AA25" i="16"/>
  <c r="AA22" i="16"/>
  <c r="AA29" i="17"/>
  <c r="AA60" i="16"/>
  <c r="AG60" i="16" s="1"/>
  <c r="AA59" i="17"/>
  <c r="AA45" i="17"/>
  <c r="AA90" i="16"/>
  <c r="AG90" i="16" s="1"/>
  <c r="AA80" i="16"/>
  <c r="AG80" i="16" s="1"/>
  <c r="AA174" i="16"/>
  <c r="L174" i="27" s="1"/>
  <c r="O174" i="27" s="1"/>
  <c r="AA62" i="17"/>
  <c r="AA48" i="17"/>
  <c r="AA67" i="16"/>
  <c r="AG67" i="16" s="1"/>
  <c r="AG134" i="16"/>
  <c r="AG138" i="16"/>
  <c r="AG118" i="16"/>
  <c r="AG121" i="16"/>
  <c r="AG112" i="16"/>
  <c r="AG128" i="16"/>
  <c r="AG133" i="16"/>
  <c r="AG94" i="16"/>
  <c r="AG136" i="16"/>
  <c r="AG130" i="16"/>
  <c r="AG140" i="16"/>
  <c r="AG109" i="16"/>
  <c r="AG150" i="16"/>
  <c r="AG116" i="16"/>
  <c r="AG12" i="16"/>
  <c r="AG20" i="16"/>
  <c r="AG95" i="16"/>
  <c r="AG101" i="16"/>
  <c r="AG147" i="16"/>
  <c r="AG144" i="16"/>
  <c r="AG126" i="16"/>
  <c r="AG7" i="16"/>
  <c r="AG97" i="16"/>
  <c r="AG113" i="16"/>
  <c r="AG15" i="16"/>
  <c r="AG119" i="16"/>
  <c r="AG142" i="16"/>
  <c r="AG120" i="16"/>
  <c r="AG125" i="16"/>
  <c r="AG91" i="16"/>
  <c r="AG93" i="16"/>
  <c r="AG148" i="16"/>
  <c r="AG122" i="16"/>
  <c r="AG92" i="16"/>
  <c r="AG107" i="16"/>
  <c r="AG96" i="16"/>
  <c r="AG124" i="16"/>
  <c r="AG131" i="16"/>
  <c r="AG108" i="16"/>
  <c r="AG99" i="16"/>
  <c r="AG103" i="16"/>
  <c r="AG105" i="16"/>
  <c r="AG143" i="16"/>
  <c r="AG132" i="16"/>
  <c r="AG111" i="16"/>
  <c r="AG149" i="16"/>
  <c r="AG117" i="16"/>
  <c r="AG123" i="16"/>
  <c r="AG102" i="16"/>
  <c r="AG127" i="16"/>
  <c r="AG129" i="16"/>
  <c r="AG106" i="16"/>
  <c r="AG110" i="16"/>
  <c r="AG135" i="16"/>
  <c r="AG114" i="16"/>
  <c r="AG139" i="16"/>
  <c r="AG141" i="16"/>
  <c r="Y5" i="13"/>
  <c r="X43" i="13"/>
  <c r="Y5" i="12"/>
  <c r="X43" i="12"/>
  <c r="AG100" i="16" l="1"/>
  <c r="AG24" i="16"/>
  <c r="O157" i="27"/>
  <c r="AG145" i="16"/>
  <c r="AG98" i="16"/>
  <c r="AG115" i="16"/>
  <c r="AG104" i="16"/>
  <c r="AG137" i="16"/>
  <c r="AC11" i="27" s="1"/>
  <c r="AG146" i="16"/>
  <c r="AG10" i="16"/>
  <c r="AG172" i="16"/>
  <c r="AG23" i="16"/>
  <c r="AG167" i="16"/>
  <c r="AG3" i="16"/>
  <c r="AG165" i="16"/>
  <c r="AG14" i="16"/>
  <c r="AG164" i="16"/>
  <c r="O155" i="27"/>
  <c r="AG21" i="16"/>
  <c r="AG13" i="16"/>
  <c r="O160" i="27"/>
  <c r="O158" i="27"/>
  <c r="I9" i="30"/>
  <c r="I11" i="30"/>
  <c r="I7" i="30"/>
  <c r="I13" i="30" s="1"/>
  <c r="AG18" i="16"/>
  <c r="AG11" i="16"/>
  <c r="AG174" i="16"/>
  <c r="AG171" i="16"/>
  <c r="AG168" i="16"/>
  <c r="AG5" i="16"/>
  <c r="AG4" i="16"/>
  <c r="AG8" i="16"/>
  <c r="M7" i="31"/>
  <c r="M13" i="31" s="1"/>
  <c r="K13" i="31"/>
  <c r="AC10" i="27"/>
  <c r="T11" i="27"/>
  <c r="AG9" i="16"/>
  <c r="AG25" i="16"/>
  <c r="L25" i="27"/>
  <c r="O25" i="27" s="1"/>
  <c r="AG6" i="16"/>
  <c r="L6" i="27"/>
  <c r="O6" i="27" s="1"/>
  <c r="AG173" i="16"/>
  <c r="L173" i="27"/>
  <c r="O173" i="27" s="1"/>
  <c r="AG169" i="16"/>
  <c r="L169" i="27"/>
  <c r="O169" i="27" s="1"/>
  <c r="AG2" i="16"/>
  <c r="L89" i="27"/>
  <c r="O89" i="27" s="1"/>
  <c r="L87" i="27"/>
  <c r="O87" i="27" s="1"/>
  <c r="L85" i="27"/>
  <c r="O85" i="27" s="1"/>
  <c r="L83" i="27"/>
  <c r="O83" i="27" s="1"/>
  <c r="L81" i="27"/>
  <c r="O81" i="27" s="1"/>
  <c r="L79" i="27"/>
  <c r="O79" i="27" s="1"/>
  <c r="L77" i="27"/>
  <c r="O77" i="27" s="1"/>
  <c r="L75" i="27"/>
  <c r="O75" i="27" s="1"/>
  <c r="L73" i="27"/>
  <c r="O73" i="27" s="1"/>
  <c r="L71" i="27"/>
  <c r="O71" i="27" s="1"/>
  <c r="L69" i="27"/>
  <c r="O69" i="27" s="1"/>
  <c r="L67" i="27"/>
  <c r="L90" i="27"/>
  <c r="O90" i="27" s="1"/>
  <c r="L88" i="27"/>
  <c r="O88" i="27" s="1"/>
  <c r="L86" i="27"/>
  <c r="O86" i="27" s="1"/>
  <c r="L84" i="27"/>
  <c r="O84" i="27" s="1"/>
  <c r="L82" i="27"/>
  <c r="O82" i="27" s="1"/>
  <c r="L80" i="27"/>
  <c r="O80" i="27" s="1"/>
  <c r="L78" i="27"/>
  <c r="O78" i="27" s="1"/>
  <c r="L76" i="27"/>
  <c r="O76" i="27" s="1"/>
  <c r="L74" i="27"/>
  <c r="O74" i="27" s="1"/>
  <c r="L72" i="27"/>
  <c r="O72" i="27" s="1"/>
  <c r="L70" i="27"/>
  <c r="O70" i="27" s="1"/>
  <c r="L68" i="27"/>
  <c r="O68" i="27" s="1"/>
  <c r="L2" i="27"/>
  <c r="AG19" i="16"/>
  <c r="L19" i="27"/>
  <c r="O19" i="27" s="1"/>
  <c r="AG163" i="16"/>
  <c r="L163" i="27"/>
  <c r="AG22" i="16"/>
  <c r="L22" i="27"/>
  <c r="O22" i="27" s="1"/>
  <c r="AG170" i="16"/>
  <c r="L170" i="27"/>
  <c r="O170" i="27" s="1"/>
  <c r="AG166" i="16"/>
  <c r="L166" i="27"/>
  <c r="O166" i="27" s="1"/>
  <c r="AG56" i="16"/>
  <c r="L66" i="27"/>
  <c r="O66" i="27" s="1"/>
  <c r="L64" i="27"/>
  <c r="O64" i="27" s="1"/>
  <c r="L62" i="27"/>
  <c r="O62" i="27" s="1"/>
  <c r="L60" i="27"/>
  <c r="O60" i="27" s="1"/>
  <c r="L58" i="27"/>
  <c r="O58" i="27" s="1"/>
  <c r="L56" i="27"/>
  <c r="O56" i="27" s="1"/>
  <c r="L54" i="27"/>
  <c r="O54" i="27" s="1"/>
  <c r="L52" i="27"/>
  <c r="O52" i="27" s="1"/>
  <c r="L50" i="27"/>
  <c r="O50" i="27" s="1"/>
  <c r="L48" i="27"/>
  <c r="O48" i="27" s="1"/>
  <c r="L46" i="27"/>
  <c r="O46" i="27" s="1"/>
  <c r="L44" i="27"/>
  <c r="O44" i="27" s="1"/>
  <c r="L42" i="27"/>
  <c r="O42" i="27" s="1"/>
  <c r="L40" i="27"/>
  <c r="O40" i="27" s="1"/>
  <c r="L38" i="27"/>
  <c r="O38" i="27" s="1"/>
  <c r="L36" i="27"/>
  <c r="O36" i="27" s="1"/>
  <c r="L34" i="27"/>
  <c r="O34" i="27" s="1"/>
  <c r="L32" i="27"/>
  <c r="O32" i="27" s="1"/>
  <c r="L30" i="27"/>
  <c r="O30" i="27" s="1"/>
  <c r="L28" i="27"/>
  <c r="O28" i="27" s="1"/>
  <c r="L26" i="27"/>
  <c r="O26" i="27" s="1"/>
  <c r="L63" i="27"/>
  <c r="O63" i="27" s="1"/>
  <c r="L55" i="27"/>
  <c r="O55" i="27" s="1"/>
  <c r="L47" i="27"/>
  <c r="O47" i="27" s="1"/>
  <c r="L39" i="27"/>
  <c r="O39" i="27" s="1"/>
  <c r="L31" i="27"/>
  <c r="O31" i="27" s="1"/>
  <c r="L61" i="27"/>
  <c r="O61" i="27" s="1"/>
  <c r="L53" i="27"/>
  <c r="O53" i="27" s="1"/>
  <c r="L45" i="27"/>
  <c r="O45" i="27" s="1"/>
  <c r="L37" i="27"/>
  <c r="O37" i="27" s="1"/>
  <c r="L29" i="27"/>
  <c r="O29" i="27" s="1"/>
  <c r="L59" i="27"/>
  <c r="O59" i="27" s="1"/>
  <c r="L51" i="27"/>
  <c r="O51" i="27" s="1"/>
  <c r="L43" i="27"/>
  <c r="O43" i="27" s="1"/>
  <c r="L35" i="27"/>
  <c r="O35" i="27" s="1"/>
  <c r="L27" i="27"/>
  <c r="O27" i="27" s="1"/>
  <c r="L65" i="27"/>
  <c r="O65" i="27" s="1"/>
  <c r="L33" i="27"/>
  <c r="O33" i="27" s="1"/>
  <c r="L57" i="27"/>
  <c r="O57" i="27" s="1"/>
  <c r="L49" i="27"/>
  <c r="O49" i="27" s="1"/>
  <c r="L41" i="27"/>
  <c r="O41" i="27" s="1"/>
  <c r="AG17" i="16"/>
  <c r="AG16" i="16"/>
  <c r="AP3" i="16"/>
  <c r="AQ3" i="16" s="1"/>
  <c r="Y43" i="12"/>
  <c r="AB5" i="12"/>
  <c r="AB43" i="12" s="1"/>
  <c r="Y43" i="13"/>
  <c r="AB5" i="13"/>
  <c r="AP4" i="16" l="1"/>
  <c r="AQ4" i="16" s="1"/>
  <c r="W11" i="27"/>
  <c r="Z11" i="27" s="1"/>
  <c r="AH11" i="27" s="1"/>
  <c r="G5" i="33"/>
  <c r="G10" i="33"/>
  <c r="AP5" i="16"/>
  <c r="AQ5" i="16" s="1"/>
  <c r="AP2" i="16"/>
  <c r="AQ2" i="16" s="1"/>
  <c r="AC12" i="27"/>
  <c r="O163" i="27"/>
  <c r="W12" i="27" s="1"/>
  <c r="T12" i="27"/>
  <c r="T9" i="27"/>
  <c r="O2" i="27"/>
  <c r="W9" i="27" s="1"/>
  <c r="T10" i="27"/>
  <c r="O67" i="27"/>
  <c r="W10" i="27" s="1"/>
  <c r="AC9" i="27"/>
  <c r="AB43" i="13"/>
  <c r="AP7" i="16" l="1"/>
  <c r="AP8" i="16" s="1"/>
  <c r="AQ8" i="16" s="1"/>
  <c r="Z12" i="27"/>
  <c r="AH12" i="27" s="1"/>
  <c r="Z9" i="27"/>
  <c r="AH9" i="27" s="1"/>
  <c r="Z10" i="27"/>
  <c r="AH10" i="27" s="1"/>
  <c r="AQ7" i="16"/>
  <c r="K2" i="27" l="1"/>
  <c r="N2" i="27"/>
  <c r="K3" i="27"/>
  <c r="N3" i="27"/>
  <c r="K4" i="27"/>
  <c r="N4" i="27"/>
  <c r="K5" i="27"/>
  <c r="N5" i="27"/>
  <c r="K6" i="27"/>
  <c r="N6" i="27"/>
  <c r="K7" i="27"/>
  <c r="N7" i="27"/>
  <c r="K8" i="27"/>
  <c r="N8" i="27"/>
  <c r="K9" i="27"/>
  <c r="N9" i="27"/>
  <c r="S9" i="27"/>
  <c r="V9" i="27"/>
  <c r="Y9" i="27"/>
  <c r="AB9" i="27"/>
  <c r="AE9" i="27"/>
  <c r="AG9" i="27"/>
  <c r="AJ9" i="27"/>
  <c r="K10" i="27"/>
  <c r="N10" i="27"/>
  <c r="S10" i="27"/>
  <c r="V10" i="27"/>
  <c r="Y10" i="27"/>
  <c r="AB10" i="27"/>
  <c r="AE10" i="27"/>
  <c r="AG10" i="27"/>
  <c r="AJ10" i="27"/>
  <c r="K11" i="27"/>
  <c r="N11" i="27"/>
  <c r="S11" i="27"/>
  <c r="V11" i="27"/>
  <c r="Y11" i="27"/>
  <c r="AB11" i="27"/>
  <c r="AE11" i="27"/>
  <c r="AG11" i="27"/>
  <c r="AJ11" i="27"/>
  <c r="K12" i="27"/>
  <c r="N12" i="27"/>
  <c r="S12" i="27"/>
  <c r="V12" i="27"/>
  <c r="Y12" i="27"/>
  <c r="AB12" i="27"/>
  <c r="AG12" i="27"/>
  <c r="AJ12" i="27"/>
  <c r="K13" i="27"/>
  <c r="N13" i="27"/>
  <c r="K14" i="27"/>
  <c r="N14" i="27"/>
  <c r="K15" i="27"/>
  <c r="N15" i="27"/>
  <c r="K16" i="27"/>
  <c r="N16" i="27"/>
  <c r="K17" i="27"/>
  <c r="N17" i="27"/>
  <c r="K18" i="27"/>
  <c r="N18" i="27"/>
  <c r="K19" i="27"/>
  <c r="N19" i="27"/>
  <c r="K20" i="27"/>
  <c r="N20" i="27"/>
  <c r="K21" i="27"/>
  <c r="N21" i="27"/>
  <c r="K22" i="27"/>
  <c r="N22" i="27"/>
  <c r="K23" i="27"/>
  <c r="N23" i="27"/>
  <c r="K24" i="27"/>
  <c r="N24" i="27"/>
  <c r="K25" i="27"/>
  <c r="N25" i="27"/>
  <c r="K26" i="27"/>
  <c r="N26" i="27"/>
  <c r="K27" i="27"/>
  <c r="N27" i="27"/>
  <c r="K28" i="27"/>
  <c r="N28" i="27"/>
  <c r="K29" i="27"/>
  <c r="N29" i="27"/>
  <c r="K30" i="27"/>
  <c r="N30" i="27"/>
  <c r="K31" i="27"/>
  <c r="N31" i="27"/>
  <c r="K32" i="27"/>
  <c r="N32" i="27"/>
  <c r="K33" i="27"/>
  <c r="N33" i="27"/>
  <c r="K34" i="27"/>
  <c r="N34" i="27"/>
  <c r="K35" i="27"/>
  <c r="N35" i="27"/>
  <c r="K36" i="27"/>
  <c r="N36" i="27"/>
  <c r="K37" i="27"/>
  <c r="N37" i="27"/>
  <c r="K38" i="27"/>
  <c r="N38" i="27"/>
  <c r="K39" i="27"/>
  <c r="N39" i="27"/>
  <c r="K40" i="27"/>
  <c r="N40" i="27"/>
  <c r="K41" i="27"/>
  <c r="N41" i="27"/>
  <c r="K42" i="27"/>
  <c r="N42" i="27"/>
  <c r="K43" i="27"/>
  <c r="N43" i="27"/>
  <c r="K44" i="27"/>
  <c r="N44" i="27"/>
  <c r="K45" i="27"/>
  <c r="N45" i="27"/>
  <c r="K46" i="27"/>
  <c r="N46" i="27"/>
  <c r="K47" i="27"/>
  <c r="N47" i="27"/>
  <c r="K48" i="27"/>
  <c r="N48" i="27"/>
  <c r="K49" i="27"/>
  <c r="N49" i="27"/>
  <c r="K50" i="27"/>
  <c r="N50" i="27"/>
  <c r="K51" i="27"/>
  <c r="N51" i="27"/>
  <c r="K52" i="27"/>
  <c r="N52" i="27"/>
  <c r="K53" i="27"/>
  <c r="N53" i="27"/>
  <c r="K54" i="27"/>
  <c r="N54" i="27"/>
  <c r="K55" i="27"/>
  <c r="N55" i="27"/>
  <c r="K56" i="27"/>
  <c r="N56" i="27"/>
  <c r="K57" i="27"/>
  <c r="N57" i="27"/>
  <c r="K58" i="27"/>
  <c r="N58" i="27"/>
  <c r="K59" i="27"/>
  <c r="N59" i="27"/>
  <c r="K60" i="27"/>
  <c r="N60" i="27"/>
  <c r="K61" i="27"/>
  <c r="N61" i="27"/>
  <c r="K62" i="27"/>
  <c r="N62" i="27"/>
  <c r="K63" i="27"/>
  <c r="N63" i="27"/>
  <c r="K64" i="27"/>
  <c r="N64" i="27"/>
  <c r="K65" i="27"/>
  <c r="N65" i="27"/>
  <c r="K66" i="27"/>
  <c r="N66" i="27"/>
  <c r="K67" i="27"/>
  <c r="N67" i="27"/>
  <c r="K68" i="27"/>
  <c r="N68" i="27"/>
  <c r="K69" i="27"/>
  <c r="N69" i="27"/>
  <c r="K70" i="27"/>
  <c r="N70" i="27"/>
  <c r="K71" i="27"/>
  <c r="N71" i="27"/>
  <c r="K72" i="27"/>
  <c r="N72" i="27"/>
  <c r="K73" i="27"/>
  <c r="N73" i="27"/>
  <c r="K74" i="27"/>
  <c r="N74" i="27"/>
  <c r="K75" i="27"/>
  <c r="N75" i="27"/>
  <c r="K76" i="27"/>
  <c r="N76" i="27"/>
  <c r="K77" i="27"/>
  <c r="N77" i="27"/>
  <c r="K78" i="27"/>
  <c r="N78" i="27"/>
  <c r="K79" i="27"/>
  <c r="N79" i="27"/>
  <c r="K80" i="27"/>
  <c r="N80" i="27"/>
  <c r="K81" i="27"/>
  <c r="N81" i="27"/>
  <c r="K82" i="27"/>
  <c r="N82" i="27"/>
  <c r="K83" i="27"/>
  <c r="N83" i="27"/>
  <c r="K84" i="27"/>
  <c r="N84" i="27"/>
  <c r="K85" i="27"/>
  <c r="N85" i="27"/>
  <c r="K86" i="27"/>
  <c r="N86" i="27"/>
  <c r="K87" i="27"/>
  <c r="N87" i="27"/>
  <c r="K88" i="27"/>
  <c r="N88" i="27"/>
  <c r="K89" i="27"/>
  <c r="N89" i="27"/>
  <c r="K90" i="27"/>
  <c r="N90" i="27"/>
  <c r="K91" i="27"/>
  <c r="N91" i="27"/>
  <c r="K92" i="27"/>
  <c r="N92" i="27"/>
  <c r="K93" i="27"/>
  <c r="N93" i="27"/>
  <c r="K94" i="27"/>
  <c r="N94" i="27"/>
  <c r="K95" i="27"/>
  <c r="N95" i="27"/>
  <c r="K96" i="27"/>
  <c r="N96" i="27"/>
  <c r="K97" i="27"/>
  <c r="N97" i="27"/>
  <c r="K98" i="27"/>
  <c r="N98" i="27"/>
  <c r="K99" i="27"/>
  <c r="N99" i="27"/>
  <c r="K100" i="27"/>
  <c r="N100" i="27"/>
  <c r="K101" i="27"/>
  <c r="N101" i="27"/>
  <c r="K102" i="27"/>
  <c r="N102" i="27"/>
  <c r="K103" i="27"/>
  <c r="N103" i="27"/>
  <c r="K104" i="27"/>
  <c r="N104" i="27"/>
  <c r="K105" i="27"/>
  <c r="N105" i="27"/>
  <c r="K106" i="27"/>
  <c r="N106" i="27"/>
  <c r="K107" i="27"/>
  <c r="N107" i="27"/>
  <c r="K108" i="27"/>
  <c r="N108" i="27"/>
  <c r="K109" i="27"/>
  <c r="N109" i="27"/>
  <c r="K110" i="27"/>
  <c r="N110" i="27"/>
  <c r="K111" i="27"/>
  <c r="N111" i="27"/>
  <c r="K112" i="27"/>
  <c r="N112" i="27"/>
  <c r="K113" i="27"/>
  <c r="N113" i="27"/>
  <c r="K114" i="27"/>
  <c r="N114" i="27"/>
  <c r="K115" i="27"/>
  <c r="N115" i="27"/>
  <c r="K116" i="27"/>
  <c r="N116" i="27"/>
  <c r="K117" i="27"/>
  <c r="N117" i="27"/>
  <c r="K118" i="27"/>
  <c r="N118" i="27"/>
  <c r="K119" i="27"/>
  <c r="N119" i="27"/>
  <c r="K120" i="27"/>
  <c r="N120" i="27"/>
  <c r="K121" i="27"/>
  <c r="N121" i="27"/>
  <c r="K122" i="27"/>
  <c r="N122" i="27"/>
  <c r="K123" i="27"/>
  <c r="N123" i="27"/>
  <c r="K124" i="27"/>
  <c r="N124" i="27"/>
  <c r="K125" i="27"/>
  <c r="N125" i="27"/>
  <c r="K126" i="27"/>
  <c r="N126" i="27"/>
  <c r="K127" i="27"/>
  <c r="N127" i="27"/>
  <c r="K128" i="27"/>
  <c r="N128" i="27"/>
  <c r="K129" i="27"/>
  <c r="N129" i="27"/>
  <c r="K130" i="27"/>
  <c r="N130" i="27"/>
  <c r="K131" i="27"/>
  <c r="N131" i="27"/>
  <c r="K132" i="27"/>
  <c r="N132" i="27"/>
  <c r="K133" i="27"/>
  <c r="N133" i="27"/>
  <c r="K134" i="27"/>
  <c r="N134" i="27"/>
  <c r="K135" i="27"/>
  <c r="N135" i="27"/>
  <c r="K136" i="27"/>
  <c r="N136" i="27"/>
  <c r="K137" i="27"/>
  <c r="N137" i="27"/>
  <c r="K138" i="27"/>
  <c r="N138" i="27"/>
  <c r="K139" i="27"/>
  <c r="N139" i="27"/>
  <c r="K140" i="27"/>
  <c r="N140" i="27"/>
  <c r="K141" i="27"/>
  <c r="N141" i="27"/>
  <c r="K142" i="27"/>
  <c r="N142" i="27"/>
  <c r="K143" i="27"/>
  <c r="N143" i="27"/>
  <c r="K144" i="27"/>
  <c r="N144" i="27"/>
  <c r="K145" i="27"/>
  <c r="N145" i="27"/>
  <c r="K146" i="27"/>
  <c r="N146" i="27"/>
  <c r="K147" i="27"/>
  <c r="N147" i="27"/>
  <c r="K148" i="27"/>
  <c r="N148" i="27"/>
  <c r="K149" i="27"/>
  <c r="N149" i="27"/>
  <c r="K150" i="27"/>
  <c r="N150" i="27"/>
  <c r="K151" i="27"/>
  <c r="N151" i="27"/>
  <c r="K152" i="27"/>
  <c r="N152" i="27"/>
  <c r="K153" i="27"/>
  <c r="N153" i="27"/>
  <c r="K154" i="27"/>
  <c r="N154" i="27"/>
  <c r="K155" i="27"/>
  <c r="N155" i="27"/>
  <c r="K156" i="27"/>
  <c r="N156" i="27"/>
  <c r="K157" i="27"/>
  <c r="N157" i="27"/>
  <c r="K158" i="27"/>
  <c r="N158" i="27"/>
  <c r="K159" i="27"/>
  <c r="N159" i="27"/>
  <c r="K160" i="27"/>
  <c r="N160" i="27"/>
  <c r="K161" i="27"/>
  <c r="N161" i="27"/>
  <c r="K162" i="27"/>
  <c r="N162" i="27"/>
  <c r="K163" i="27"/>
  <c r="N163" i="27"/>
  <c r="K164" i="27"/>
  <c r="N164" i="27"/>
  <c r="K165" i="27"/>
  <c r="N165" i="27"/>
  <c r="K166" i="27"/>
  <c r="N166" i="27"/>
  <c r="K167" i="27"/>
  <c r="N167" i="27"/>
  <c r="K168" i="27"/>
  <c r="N168" i="27"/>
  <c r="K169" i="27"/>
  <c r="N169" i="27"/>
  <c r="K170" i="27"/>
  <c r="N170" i="27"/>
  <c r="K171" i="27"/>
  <c r="N171" i="27"/>
  <c r="K172" i="27"/>
  <c r="N172" i="27"/>
  <c r="K173" i="27"/>
  <c r="N173" i="27"/>
  <c r="K174" i="27"/>
  <c r="N174" i="27"/>
  <c r="D48" i="5"/>
  <c r="E48" i="5"/>
  <c r="F48" i="5"/>
  <c r="G48" i="5"/>
  <c r="D49" i="5"/>
  <c r="E49" i="5"/>
  <c r="F49" i="5"/>
  <c r="Z2" i="16"/>
  <c r="AF2" i="16"/>
  <c r="AK2" i="16"/>
  <c r="AL2" i="16"/>
  <c r="AU2" i="16"/>
  <c r="AV2" i="16"/>
  <c r="Z3" i="16"/>
  <c r="AF3" i="16"/>
  <c r="AK3" i="16"/>
  <c r="AL3" i="16"/>
  <c r="AU3" i="16"/>
  <c r="AV3" i="16"/>
  <c r="Z4" i="16"/>
  <c r="AF4" i="16"/>
  <c r="AK4" i="16"/>
  <c r="AL4" i="16"/>
  <c r="AU4" i="16"/>
  <c r="AV4" i="16"/>
  <c r="Z5" i="16"/>
  <c r="AF5" i="16"/>
  <c r="AK5" i="16"/>
  <c r="AL5" i="16"/>
  <c r="AU5" i="16"/>
  <c r="AV5" i="16"/>
  <c r="Z6" i="16"/>
  <c r="AF6" i="16"/>
  <c r="Z7" i="16"/>
  <c r="AF7" i="16"/>
  <c r="AK7" i="16"/>
  <c r="AL7" i="16"/>
  <c r="AU7" i="16"/>
  <c r="AV7" i="16"/>
  <c r="Z8" i="16"/>
  <c r="AF8" i="16"/>
  <c r="AK8" i="16"/>
  <c r="AL8" i="16"/>
  <c r="AU8" i="16"/>
  <c r="AV8" i="16"/>
  <c r="Z9" i="16"/>
  <c r="AF9" i="16"/>
  <c r="Z10" i="16"/>
  <c r="AF10" i="16"/>
  <c r="AU10" i="16"/>
  <c r="Z11" i="16"/>
  <c r="AF11" i="16"/>
  <c r="Z12" i="16"/>
  <c r="AF12" i="16"/>
  <c r="Z13" i="16"/>
  <c r="AF13" i="16"/>
  <c r="Z14" i="16"/>
  <c r="AF14" i="16"/>
  <c r="Z15" i="16"/>
  <c r="AF15" i="16"/>
  <c r="Z16" i="16"/>
  <c r="AF16" i="16"/>
  <c r="Z17" i="16"/>
  <c r="AF17" i="16"/>
  <c r="Z18" i="16"/>
  <c r="AF18" i="16"/>
  <c r="Z19" i="16"/>
  <c r="AF19" i="16"/>
  <c r="Z20" i="16"/>
  <c r="AF20" i="16"/>
  <c r="Z21" i="16"/>
  <c r="AF21" i="16"/>
  <c r="Z22" i="16"/>
  <c r="AF22" i="16"/>
  <c r="Z23" i="16"/>
  <c r="AF23" i="16"/>
  <c r="Z24" i="16"/>
  <c r="AF24" i="16"/>
  <c r="Z25" i="16"/>
  <c r="AF25" i="16"/>
  <c r="Z26" i="16"/>
  <c r="AF26" i="16"/>
  <c r="Z27" i="16"/>
  <c r="AF27" i="16"/>
  <c r="Z28" i="16"/>
  <c r="AF28" i="16"/>
  <c r="Z29" i="16"/>
  <c r="AF29" i="16"/>
  <c r="Z30" i="16"/>
  <c r="AF30" i="16"/>
  <c r="Z31" i="16"/>
  <c r="AF31" i="16"/>
  <c r="Z32" i="16"/>
  <c r="AF32" i="16"/>
  <c r="Z33" i="16"/>
  <c r="AF33" i="16"/>
  <c r="Z34" i="16"/>
  <c r="AF34" i="16"/>
  <c r="Z35" i="16"/>
  <c r="AF35" i="16"/>
  <c r="Z36" i="16"/>
  <c r="AF36" i="16"/>
  <c r="Z37" i="16"/>
  <c r="AF37" i="16"/>
  <c r="Z38" i="16"/>
  <c r="AF38" i="16"/>
  <c r="Z39" i="16"/>
  <c r="AF39" i="16"/>
  <c r="Z40" i="16"/>
  <c r="AF40" i="16"/>
  <c r="Z41" i="16"/>
  <c r="AF41" i="16"/>
  <c r="Z42" i="16"/>
  <c r="AF42" i="16"/>
  <c r="Z43" i="16"/>
  <c r="AF43" i="16"/>
  <c r="Z44" i="16"/>
  <c r="AF44" i="16"/>
  <c r="Z45" i="16"/>
  <c r="AF45" i="16"/>
  <c r="Z46" i="16"/>
  <c r="AF46" i="16"/>
  <c r="Z47" i="16"/>
  <c r="AF47" i="16"/>
  <c r="Z48" i="16"/>
  <c r="AF48" i="16"/>
  <c r="Z49" i="16"/>
  <c r="AF49" i="16"/>
  <c r="Z50" i="16"/>
  <c r="AF50" i="16"/>
  <c r="Z51" i="16"/>
  <c r="AF51" i="16"/>
  <c r="Z52" i="16"/>
  <c r="AF52" i="16"/>
  <c r="Z53" i="16"/>
  <c r="AF53" i="16"/>
  <c r="Z54" i="16"/>
  <c r="AF54" i="16"/>
  <c r="Z55" i="16"/>
  <c r="AF55" i="16"/>
  <c r="Z56" i="16"/>
  <c r="AF56" i="16"/>
  <c r="Z57" i="16"/>
  <c r="AF57" i="16"/>
  <c r="Z58" i="16"/>
  <c r="AF58" i="16"/>
  <c r="Z59" i="16"/>
  <c r="AF59" i="16"/>
  <c r="Z60" i="16"/>
  <c r="AF60" i="16"/>
  <c r="Z61" i="16"/>
  <c r="AF61" i="16"/>
  <c r="Z62" i="16"/>
  <c r="AF62" i="16"/>
  <c r="Z63" i="16"/>
  <c r="AF63" i="16"/>
  <c r="Z64" i="16"/>
  <c r="AF64" i="16"/>
  <c r="Z65" i="16"/>
  <c r="AF65" i="16"/>
  <c r="Z66" i="16"/>
  <c r="AF66" i="16"/>
  <c r="Z67" i="16"/>
  <c r="AF67" i="16"/>
  <c r="Z68" i="16"/>
  <c r="AF68" i="16"/>
  <c r="Z69" i="16"/>
  <c r="AF69" i="16"/>
  <c r="Z70" i="16"/>
  <c r="AF70" i="16"/>
  <c r="Z71" i="16"/>
  <c r="AF71" i="16"/>
  <c r="Z72" i="16"/>
  <c r="AF72" i="16"/>
  <c r="Z73" i="16"/>
  <c r="AF73" i="16"/>
  <c r="Z74" i="16"/>
  <c r="AF74" i="16"/>
  <c r="Z75" i="16"/>
  <c r="AF75" i="16"/>
  <c r="Z76" i="16"/>
  <c r="AF76" i="16"/>
  <c r="Z77" i="16"/>
  <c r="AF77" i="16"/>
  <c r="Z78" i="16"/>
  <c r="AF78" i="16"/>
  <c r="Z79" i="16"/>
  <c r="AF79" i="16"/>
  <c r="Z80" i="16"/>
  <c r="AF80" i="16"/>
  <c r="Z81" i="16"/>
  <c r="AF81" i="16"/>
  <c r="Z82" i="16"/>
  <c r="AF82" i="16"/>
  <c r="Z83" i="16"/>
  <c r="AF83" i="16"/>
  <c r="Z84" i="16"/>
  <c r="AF84" i="16"/>
  <c r="Z85" i="16"/>
  <c r="AF85" i="16"/>
  <c r="Z86" i="16"/>
  <c r="AF86" i="16"/>
  <c r="Z87" i="16"/>
  <c r="AF87" i="16"/>
  <c r="Z88" i="16"/>
  <c r="AF88" i="16"/>
  <c r="Z89" i="16"/>
  <c r="AF89" i="16"/>
  <c r="Z90" i="16"/>
  <c r="AF90" i="16"/>
  <c r="Z91" i="16"/>
  <c r="AF91" i="16"/>
  <c r="Z92" i="16"/>
  <c r="AF92" i="16"/>
  <c r="Z93" i="16"/>
  <c r="AF93" i="16"/>
  <c r="Z94" i="16"/>
  <c r="AF94" i="16"/>
  <c r="Z95" i="16"/>
  <c r="AF95" i="16"/>
  <c r="Z96" i="16"/>
  <c r="AF96" i="16"/>
  <c r="Z97" i="16"/>
  <c r="AF97" i="16"/>
  <c r="Z98" i="16"/>
  <c r="AF98" i="16"/>
  <c r="Z99" i="16"/>
  <c r="AF99" i="16"/>
  <c r="Z100" i="16"/>
  <c r="AF100" i="16"/>
  <c r="Z101" i="16"/>
  <c r="AF101" i="16"/>
  <c r="Z102" i="16"/>
  <c r="AF102" i="16"/>
  <c r="Z103" i="16"/>
  <c r="AF103" i="16"/>
  <c r="Z104" i="16"/>
  <c r="AF104" i="16"/>
  <c r="Z105" i="16"/>
  <c r="AF105" i="16"/>
  <c r="Z106" i="16"/>
  <c r="AF106" i="16"/>
  <c r="Z107" i="16"/>
  <c r="AF107" i="16"/>
  <c r="Z108" i="16"/>
  <c r="AF108" i="16"/>
  <c r="Z109" i="16"/>
  <c r="AF109" i="16"/>
  <c r="Z110" i="16"/>
  <c r="AF110" i="16"/>
  <c r="Z111" i="16"/>
  <c r="AF111" i="16"/>
  <c r="Z112" i="16"/>
  <c r="AF112" i="16"/>
  <c r="Z113" i="16"/>
  <c r="AF113" i="16"/>
  <c r="Z114" i="16"/>
  <c r="AF114" i="16"/>
  <c r="Z115" i="16"/>
  <c r="AF115" i="16"/>
  <c r="Z116" i="16"/>
  <c r="AF116" i="16"/>
  <c r="Z117" i="16"/>
  <c r="AF117" i="16"/>
  <c r="Z118" i="16"/>
  <c r="AF118" i="16"/>
  <c r="Z119" i="16"/>
  <c r="AF119" i="16"/>
  <c r="Z120" i="16"/>
  <c r="AF120" i="16"/>
  <c r="Z121" i="16"/>
  <c r="AF121" i="16"/>
  <c r="Z122" i="16"/>
  <c r="AF122" i="16"/>
  <c r="Z123" i="16"/>
  <c r="AF123" i="16"/>
  <c r="Z124" i="16"/>
  <c r="AF124" i="16"/>
  <c r="Z125" i="16"/>
  <c r="AF125" i="16"/>
  <c r="Z126" i="16"/>
  <c r="AF126" i="16"/>
  <c r="Z127" i="16"/>
  <c r="AF127" i="16"/>
  <c r="Z128" i="16"/>
  <c r="AF128" i="16"/>
  <c r="Z129" i="16"/>
  <c r="AF129" i="16"/>
  <c r="Z130" i="16"/>
  <c r="AF130" i="16"/>
  <c r="Z131" i="16"/>
  <c r="AF131" i="16"/>
  <c r="Z132" i="16"/>
  <c r="AF132" i="16"/>
  <c r="Z133" i="16"/>
  <c r="AF133" i="16"/>
  <c r="Z134" i="16"/>
  <c r="AF134" i="16"/>
  <c r="Z135" i="16"/>
  <c r="AF135" i="16"/>
  <c r="Z136" i="16"/>
  <c r="AF136" i="16"/>
  <c r="Z137" i="16"/>
  <c r="AF137" i="16"/>
  <c r="Z138" i="16"/>
  <c r="AF138" i="16"/>
  <c r="Z139" i="16"/>
  <c r="AF139" i="16"/>
  <c r="Z140" i="16"/>
  <c r="AF140" i="16"/>
  <c r="Z141" i="16"/>
  <c r="AF141" i="16"/>
  <c r="Z142" i="16"/>
  <c r="AF142" i="16"/>
  <c r="Z143" i="16"/>
  <c r="AF143" i="16"/>
  <c r="Z144" i="16"/>
  <c r="AF144" i="16"/>
  <c r="Z145" i="16"/>
  <c r="AF145" i="16"/>
  <c r="Z146" i="16"/>
  <c r="AF146" i="16"/>
  <c r="Z147" i="16"/>
  <c r="AF147" i="16"/>
  <c r="Z148" i="16"/>
  <c r="AF148" i="16"/>
  <c r="Z149" i="16"/>
  <c r="AF149" i="16"/>
  <c r="Z150" i="16"/>
  <c r="AF150" i="16"/>
  <c r="Z151" i="16"/>
  <c r="AF151" i="16"/>
  <c r="Z152" i="16"/>
  <c r="AF152" i="16"/>
  <c r="Z153" i="16"/>
  <c r="AF153" i="16"/>
  <c r="Z154" i="16"/>
  <c r="AF154" i="16"/>
  <c r="Z155" i="16"/>
  <c r="AF155" i="16"/>
  <c r="Z156" i="16"/>
  <c r="AF156" i="16"/>
  <c r="Z157" i="16"/>
  <c r="AF157" i="16"/>
  <c r="Z158" i="16"/>
  <c r="AF158" i="16"/>
  <c r="Z159" i="16"/>
  <c r="AF159" i="16"/>
  <c r="Z160" i="16"/>
  <c r="AF160" i="16"/>
  <c r="Z161" i="16"/>
  <c r="AF161" i="16"/>
  <c r="Z162" i="16"/>
  <c r="AF162" i="16"/>
  <c r="Z163" i="16"/>
  <c r="AF163" i="16"/>
  <c r="Z164" i="16"/>
  <c r="AF164" i="16"/>
  <c r="Z165" i="16"/>
  <c r="AF165" i="16"/>
  <c r="Z166" i="16"/>
  <c r="AF166" i="16"/>
  <c r="Z167" i="16"/>
  <c r="AF167" i="16"/>
  <c r="Z168" i="16"/>
  <c r="AF168" i="16"/>
  <c r="Z169" i="16"/>
  <c r="AF169" i="16"/>
  <c r="Z170" i="16"/>
  <c r="AF170" i="16"/>
  <c r="Z171" i="16"/>
  <c r="AF171" i="16"/>
  <c r="Z172" i="16"/>
  <c r="AF172" i="16"/>
  <c r="Z173" i="16"/>
  <c r="AF173" i="16"/>
  <c r="Z174" i="16"/>
  <c r="AF174" i="16"/>
  <c r="D7" i="30"/>
  <c r="R7" i="30"/>
  <c r="S7" i="30"/>
  <c r="V7" i="30"/>
  <c r="W7" i="30"/>
  <c r="X7" i="30"/>
  <c r="D9" i="30"/>
  <c r="R9" i="30"/>
  <c r="S9" i="30"/>
  <c r="V9" i="30"/>
  <c r="W9" i="30"/>
  <c r="X9" i="30"/>
  <c r="D11" i="30"/>
  <c r="R11" i="30"/>
  <c r="S11" i="30"/>
  <c r="V11" i="30"/>
  <c r="W11" i="30"/>
  <c r="X11" i="30"/>
  <c r="D13" i="30"/>
  <c r="R13" i="30"/>
  <c r="S13" i="30"/>
  <c r="V13" i="30"/>
  <c r="W13" i="30"/>
  <c r="X13" i="30"/>
  <c r="Z2" i="17"/>
  <c r="AE2" i="17"/>
  <c r="Z3" i="17"/>
  <c r="AE3" i="17"/>
  <c r="Z4" i="17"/>
  <c r="AE4" i="17"/>
  <c r="Z5" i="17"/>
  <c r="AE5" i="17"/>
  <c r="AJ5" i="17"/>
  <c r="Z6" i="17"/>
  <c r="AE6" i="17"/>
  <c r="AJ6" i="17"/>
  <c r="Z7" i="17"/>
  <c r="AE7" i="17"/>
  <c r="Z8" i="17"/>
  <c r="AE8" i="17"/>
  <c r="AJ8" i="17"/>
  <c r="Z9" i="17"/>
  <c r="AE9" i="17"/>
  <c r="Z10" i="17"/>
  <c r="AE10" i="17"/>
  <c r="Z11" i="17"/>
  <c r="AE11" i="17"/>
  <c r="AJ11" i="17"/>
  <c r="Z12" i="17"/>
  <c r="AE12" i="17"/>
  <c r="Z13" i="17"/>
  <c r="AE13" i="17"/>
  <c r="Z14" i="17"/>
  <c r="AE14" i="17"/>
  <c r="Z15" i="17"/>
  <c r="AE15" i="17"/>
  <c r="Z16" i="17"/>
  <c r="AE16" i="17"/>
  <c r="Z17" i="17"/>
  <c r="AE17" i="17"/>
  <c r="Z18" i="17"/>
  <c r="AE18" i="17"/>
  <c r="Z19" i="17"/>
  <c r="AE19" i="17"/>
  <c r="Z20" i="17"/>
  <c r="AE20" i="17"/>
  <c r="Z21" i="17"/>
  <c r="AE21" i="17"/>
  <c r="Z22" i="17"/>
  <c r="AE22" i="17"/>
  <c r="Z23" i="17"/>
  <c r="AE23" i="17"/>
  <c r="Z24" i="17"/>
  <c r="AE24" i="17"/>
  <c r="Z25" i="17"/>
  <c r="AE25" i="17"/>
  <c r="Z26" i="17"/>
  <c r="AE26" i="17"/>
  <c r="Z27" i="17"/>
  <c r="AE27" i="17"/>
  <c r="Z28" i="17"/>
  <c r="AE28" i="17"/>
  <c r="Z29" i="17"/>
  <c r="AE29" i="17"/>
  <c r="Z30" i="17"/>
  <c r="AE30" i="17"/>
  <c r="Z31" i="17"/>
  <c r="AE31" i="17"/>
  <c r="Z32" i="17"/>
  <c r="AE32" i="17"/>
  <c r="Z33" i="17"/>
  <c r="AE33" i="17"/>
  <c r="Z34" i="17"/>
  <c r="AE34" i="17"/>
  <c r="Z35" i="17"/>
  <c r="AE35" i="17"/>
  <c r="Z36" i="17"/>
  <c r="AE36" i="17"/>
  <c r="Z37" i="17"/>
  <c r="AE37" i="17"/>
  <c r="Z38" i="17"/>
  <c r="AE38" i="17"/>
  <c r="Z39" i="17"/>
  <c r="AE39" i="17"/>
  <c r="Z40" i="17"/>
  <c r="AE40" i="17"/>
  <c r="Z41" i="17"/>
  <c r="AE41" i="17"/>
  <c r="Z42" i="17"/>
  <c r="AE42" i="17"/>
  <c r="Z43" i="17"/>
  <c r="AE43" i="17"/>
  <c r="Z44" i="17"/>
  <c r="AE44" i="17"/>
  <c r="Z45" i="17"/>
  <c r="AE45" i="17"/>
  <c r="Z46" i="17"/>
  <c r="AE46" i="17"/>
  <c r="Z47" i="17"/>
  <c r="AE47" i="17"/>
  <c r="Z48" i="17"/>
  <c r="AE48" i="17"/>
  <c r="Z49" i="17"/>
  <c r="AE49" i="17"/>
  <c r="Z50" i="17"/>
  <c r="AE50" i="17"/>
  <c r="Z51" i="17"/>
  <c r="AE51" i="17"/>
  <c r="Z52" i="17"/>
  <c r="AE52" i="17"/>
  <c r="Z53" i="17"/>
  <c r="AE53" i="17"/>
  <c r="Z54" i="17"/>
  <c r="AE54" i="17"/>
  <c r="Z55" i="17"/>
  <c r="AE55" i="17"/>
  <c r="Z56" i="17"/>
  <c r="AE56" i="17"/>
  <c r="Z57" i="17"/>
  <c r="AE57" i="17"/>
  <c r="Z58" i="17"/>
  <c r="AE58" i="17"/>
  <c r="Z59" i="17"/>
  <c r="AE59" i="17"/>
  <c r="Z60" i="17"/>
  <c r="AE60" i="17"/>
  <c r="Z61" i="17"/>
  <c r="AE61" i="17"/>
  <c r="Z62" i="17"/>
  <c r="AE62" i="17"/>
  <c r="Z63" i="17"/>
  <c r="AE63" i="17"/>
  <c r="Z64" i="17"/>
  <c r="AE64" i="17"/>
  <c r="Z65" i="17"/>
  <c r="AE65" i="17"/>
  <c r="Z66" i="17"/>
  <c r="AE66" i="17"/>
  <c r="Z67" i="17"/>
  <c r="AE67" i="17"/>
  <c r="Z68" i="17"/>
  <c r="AE68" i="17"/>
  <c r="Z69" i="17"/>
  <c r="AE69" i="17"/>
  <c r="Z70" i="17"/>
  <c r="AE70" i="17"/>
  <c r="Z71" i="17"/>
  <c r="AE71" i="17"/>
  <c r="Z72" i="17"/>
  <c r="AE72" i="17"/>
  <c r="Z73" i="17"/>
  <c r="AE73" i="17"/>
  <c r="Z74" i="17"/>
  <c r="AE74" i="17"/>
  <c r="Z75" i="17"/>
  <c r="AE75" i="17"/>
  <c r="Z76" i="17"/>
  <c r="AE76" i="17"/>
  <c r="Z77" i="17"/>
  <c r="AE77" i="17"/>
  <c r="Z78" i="17"/>
  <c r="AE78" i="17"/>
  <c r="Z79" i="17"/>
  <c r="AE79" i="17"/>
  <c r="E5" i="33"/>
  <c r="F5" i="33"/>
  <c r="H5" i="33"/>
  <c r="I5" i="33"/>
  <c r="R5" i="33"/>
  <c r="U5" i="33"/>
  <c r="E6" i="33"/>
  <c r="F6" i="33"/>
  <c r="H6" i="33"/>
  <c r="I6" i="33"/>
  <c r="R6" i="33"/>
  <c r="U6" i="33"/>
  <c r="E7" i="33"/>
  <c r="F7" i="33"/>
  <c r="H7" i="33"/>
  <c r="I7" i="33"/>
  <c r="R7" i="33"/>
  <c r="U7" i="33"/>
  <c r="E8" i="33"/>
  <c r="F8" i="33"/>
  <c r="H8" i="33"/>
  <c r="I8" i="33"/>
  <c r="R8" i="33"/>
  <c r="U8" i="33"/>
  <c r="E9" i="33"/>
  <c r="H9" i="33"/>
  <c r="R9" i="33"/>
  <c r="U9" i="33"/>
  <c r="F10" i="33"/>
  <c r="I10" i="33"/>
  <c r="R10" i="33"/>
  <c r="U10" i="33"/>
  <c r="F11" i="33"/>
  <c r="I11" i="33"/>
  <c r="R11" i="33"/>
  <c r="U11" i="33"/>
  <c r="E12" i="33"/>
  <c r="H12" i="33"/>
  <c r="R12" i="33"/>
  <c r="U12" i="33"/>
  <c r="F13" i="33"/>
  <c r="I13" i="33"/>
  <c r="R13" i="33"/>
  <c r="U13" i="33"/>
  <c r="F14" i="33"/>
  <c r="I14" i="33"/>
  <c r="R14" i="33"/>
  <c r="U14" i="33"/>
  <c r="E15" i="33"/>
  <c r="H15" i="33"/>
  <c r="R15" i="33"/>
  <c r="U15" i="33"/>
  <c r="R16" i="33"/>
  <c r="U16" i="33"/>
  <c r="R17" i="33"/>
  <c r="U17" i="33"/>
  <c r="R18" i="33"/>
  <c r="U18" i="33"/>
  <c r="R19" i="33"/>
  <c r="U19" i="33"/>
  <c r="R20" i="33"/>
  <c r="U20" i="33"/>
  <c r="R21" i="33"/>
  <c r="U21" i="33"/>
  <c r="R22" i="33"/>
  <c r="U22" i="33"/>
  <c r="R23" i="33"/>
  <c r="U23" i="33"/>
  <c r="R24" i="33"/>
  <c r="U24" i="33"/>
  <c r="R25" i="33"/>
  <c r="U25" i="33"/>
  <c r="R26" i="33"/>
  <c r="U26" i="33"/>
  <c r="R27" i="33"/>
  <c r="U27" i="33"/>
  <c r="R28" i="33"/>
  <c r="U28" i="33"/>
  <c r="R29" i="33"/>
  <c r="U29" i="33"/>
  <c r="R30" i="33"/>
  <c r="U30" i="33"/>
  <c r="R31" i="33"/>
  <c r="U31" i="33"/>
  <c r="R32" i="33"/>
  <c r="U32" i="33"/>
  <c r="R33" i="33"/>
  <c r="U33" i="33"/>
  <c r="Q34" i="33"/>
  <c r="T34" i="33"/>
  <c r="Q35" i="33"/>
  <c r="T35" i="33"/>
  <c r="N7" i="6"/>
  <c r="AJ7" i="6"/>
  <c r="AK7" i="6"/>
  <c r="N8" i="6"/>
  <c r="AJ8" i="6"/>
  <c r="AK8" i="6"/>
  <c r="N11" i="6"/>
  <c r="AJ11" i="6"/>
  <c r="AK11" i="6"/>
  <c r="N12" i="6"/>
  <c r="AJ12" i="6"/>
  <c r="AK12" i="6"/>
  <c r="N13" i="6"/>
  <c r="AJ13" i="6"/>
  <c r="AK13" i="6"/>
  <c r="N14" i="6"/>
  <c r="AJ14" i="6"/>
  <c r="AK14" i="6"/>
  <c r="N17" i="6"/>
  <c r="AJ17" i="6"/>
  <c r="AK17" i="6"/>
  <c r="N18" i="6"/>
  <c r="AJ18" i="6"/>
  <c r="AK18" i="6"/>
  <c r="N19" i="6"/>
  <c r="AJ19" i="6"/>
  <c r="AK19" i="6"/>
  <c r="N20" i="6"/>
  <c r="AJ20" i="6"/>
  <c r="AK20" i="6"/>
  <c r="N21" i="6"/>
  <c r="AJ21" i="6"/>
  <c r="AK21" i="6"/>
  <c r="N22" i="6"/>
  <c r="AJ22" i="6"/>
  <c r="AK22" i="6"/>
  <c r="N23" i="6"/>
  <c r="AJ23" i="6"/>
  <c r="AK23" i="6"/>
  <c r="N24" i="6"/>
  <c r="AJ24" i="6"/>
  <c r="AK24" i="6"/>
  <c r="N25" i="6"/>
  <c r="AJ25" i="6"/>
  <c r="AK25" i="6"/>
  <c r="N26" i="6"/>
  <c r="AJ26" i="6"/>
  <c r="AK26" i="6"/>
  <c r="N27" i="6"/>
  <c r="AJ27" i="6"/>
  <c r="AK27" i="6"/>
  <c r="N28" i="6"/>
  <c r="AJ28" i="6"/>
  <c r="AK28" i="6"/>
  <c r="N29" i="6"/>
  <c r="AJ29" i="6"/>
  <c r="AK29" i="6"/>
  <c r="N30" i="6"/>
  <c r="AJ30" i="6"/>
  <c r="AK30" i="6"/>
  <c r="N31" i="6"/>
  <c r="AJ31" i="6"/>
  <c r="AK31" i="6"/>
  <c r="N32" i="6"/>
  <c r="AJ32" i="6"/>
  <c r="AK32" i="6"/>
  <c r="N33" i="6"/>
  <c r="AJ33" i="6"/>
  <c r="AK33" i="6"/>
  <c r="N34" i="6"/>
  <c r="AJ34" i="6"/>
  <c r="AK34" i="6"/>
  <c r="N35" i="6"/>
  <c r="AJ35" i="6"/>
  <c r="AK35" i="6"/>
  <c r="N36" i="6"/>
  <c r="AJ36" i="6"/>
  <c r="AK36" i="6"/>
  <c r="N37" i="6"/>
  <c r="AJ37" i="6"/>
  <c r="AK37" i="6"/>
  <c r="N38" i="6"/>
  <c r="AJ38" i="6"/>
  <c r="AK38" i="6"/>
  <c r="N39" i="6"/>
  <c r="AJ39" i="6"/>
  <c r="AK39" i="6"/>
  <c r="N40" i="6"/>
  <c r="AJ40" i="6"/>
  <c r="AK40" i="6"/>
  <c r="N41" i="6"/>
  <c r="AJ41" i="6"/>
  <c r="AK41" i="6"/>
  <c r="N42" i="6"/>
  <c r="AJ42" i="6"/>
  <c r="AK42" i="6"/>
  <c r="N43" i="6"/>
  <c r="AJ43" i="6"/>
  <c r="AK43" i="6"/>
  <c r="N44" i="6"/>
  <c r="AJ44" i="6"/>
  <c r="AK44" i="6"/>
  <c r="N45" i="6"/>
  <c r="AJ45" i="6"/>
  <c r="AK45" i="6"/>
  <c r="N46" i="6"/>
  <c r="AJ46" i="6"/>
  <c r="AK46" i="6"/>
  <c r="N47" i="6"/>
  <c r="AJ47" i="6"/>
  <c r="AK47" i="6"/>
  <c r="N48" i="6"/>
  <c r="AJ48" i="6"/>
  <c r="AK48" i="6"/>
  <c r="N49" i="6"/>
  <c r="AJ49" i="6"/>
  <c r="AK49" i="6"/>
  <c r="N50" i="6"/>
  <c r="AJ50" i="6"/>
  <c r="AK50" i="6"/>
  <c r="N51" i="6"/>
  <c r="AJ51" i="6"/>
  <c r="AK51" i="6"/>
  <c r="N55" i="6"/>
  <c r="AJ55" i="6"/>
  <c r="AK55" i="6"/>
  <c r="N60" i="6"/>
  <c r="AJ60" i="6"/>
  <c r="AK60" i="6"/>
  <c r="L63" i="6"/>
  <c r="N63" i="6"/>
  <c r="L64" i="6"/>
  <c r="N64" i="6"/>
  <c r="N65" i="6"/>
  <c r="L66" i="6"/>
  <c r="L67" i="6"/>
  <c r="L68" i="6"/>
  <c r="L69" i="6"/>
  <c r="L70" i="6"/>
  <c r="N5" i="28"/>
  <c r="AB5" i="28"/>
  <c r="AC5" i="28"/>
  <c r="AF5" i="28"/>
  <c r="AG5" i="28"/>
  <c r="N6" i="28"/>
  <c r="AB6" i="28"/>
  <c r="AC6" i="28"/>
  <c r="AF6" i="28"/>
  <c r="AG6" i="28"/>
  <c r="N7" i="28"/>
  <c r="AB7" i="28"/>
  <c r="AC7" i="28"/>
  <c r="AF7" i="28"/>
  <c r="AG7" i="28"/>
  <c r="N8" i="28"/>
  <c r="AB8" i="28"/>
  <c r="AC8" i="28"/>
  <c r="AF8" i="28"/>
  <c r="AG8" i="28"/>
  <c r="N9" i="28"/>
  <c r="AB9" i="28"/>
  <c r="AC9" i="28"/>
  <c r="AF9" i="28"/>
  <c r="AG9" i="28"/>
  <c r="N10" i="28"/>
  <c r="AB10" i="28"/>
  <c r="AC10" i="28"/>
  <c r="AF10" i="28"/>
  <c r="AG10" i="28"/>
  <c r="N11" i="28"/>
  <c r="AB11" i="28"/>
  <c r="AC11" i="28"/>
  <c r="AF11" i="28"/>
  <c r="AG11" i="28"/>
  <c r="N12" i="28"/>
  <c r="AB12" i="28"/>
  <c r="AC12" i="28"/>
  <c r="AF12" i="28"/>
  <c r="AG12" i="28"/>
  <c r="N13" i="28"/>
  <c r="AB13" i="28"/>
  <c r="AC13" i="28"/>
  <c r="AF13" i="28"/>
  <c r="AG13" i="28"/>
  <c r="N14" i="28"/>
  <c r="AB14" i="28"/>
  <c r="AC14" i="28"/>
  <c r="AF14" i="28"/>
  <c r="AG14" i="28"/>
  <c r="N15" i="28"/>
  <c r="AB15" i="28"/>
  <c r="AC15" i="28"/>
  <c r="AF15" i="28"/>
  <c r="AG15" i="28"/>
  <c r="N16" i="28"/>
  <c r="AB16" i="28"/>
  <c r="AC16" i="28"/>
  <c r="AF16" i="28"/>
  <c r="AG16" i="28"/>
  <c r="N17" i="28"/>
  <c r="AB17" i="28"/>
  <c r="AC17" i="28"/>
  <c r="AF17" i="28"/>
  <c r="AG17" i="28"/>
  <c r="N18" i="28"/>
  <c r="AB18" i="28"/>
  <c r="AC18" i="28"/>
  <c r="AF18" i="28"/>
  <c r="AG18" i="28"/>
  <c r="N19" i="28"/>
  <c r="AB19" i="28"/>
  <c r="AC19" i="28"/>
  <c r="AF19" i="28"/>
  <c r="AG19" i="28"/>
  <c r="N20" i="28"/>
  <c r="AB20" i="28"/>
  <c r="AC20" i="28"/>
  <c r="AF20" i="28"/>
  <c r="AG20" i="28"/>
  <c r="N21" i="28"/>
  <c r="AB21" i="28"/>
  <c r="AC21" i="28"/>
  <c r="AF21" i="28"/>
  <c r="AG21" i="28"/>
  <c r="N22" i="28"/>
  <c r="AB22" i="28"/>
  <c r="AC22" i="28"/>
  <c r="AF22" i="28"/>
  <c r="AG22" i="28"/>
  <c r="N23" i="28"/>
  <c r="AB23" i="28"/>
  <c r="AC23" i="28"/>
  <c r="AF23" i="28"/>
  <c r="AG23" i="28"/>
  <c r="N24" i="28"/>
  <c r="AB24" i="28"/>
  <c r="AC24" i="28"/>
  <c r="AF24" i="28"/>
  <c r="AG24" i="28"/>
  <c r="N25" i="28"/>
  <c r="AB25" i="28"/>
  <c r="AC25" i="28"/>
  <c r="AF25" i="28"/>
  <c r="AG25" i="28"/>
  <c r="N26" i="28"/>
  <c r="AB26" i="28"/>
  <c r="AC26" i="28"/>
  <c r="AF26" i="28"/>
  <c r="AG26" i="28"/>
  <c r="N27" i="28"/>
  <c r="AB27" i="28"/>
  <c r="AC27" i="28"/>
  <c r="AF27" i="28"/>
  <c r="AG27" i="28"/>
  <c r="N28" i="28"/>
  <c r="AB28" i="28"/>
  <c r="AC28" i="28"/>
  <c r="AF28" i="28"/>
  <c r="AG28" i="28"/>
  <c r="N29" i="28"/>
  <c r="AB29" i="28"/>
  <c r="AC29" i="28"/>
  <c r="AF29" i="28"/>
  <c r="AG29" i="28"/>
  <c r="N30" i="28"/>
  <c r="AB30" i="28"/>
  <c r="AC30" i="28"/>
  <c r="AF30" i="28"/>
  <c r="AG30" i="28"/>
  <c r="N31" i="28"/>
  <c r="AB31" i="28"/>
  <c r="AC31" i="28"/>
  <c r="AF31" i="28"/>
  <c r="AG31" i="28"/>
  <c r="N32" i="28"/>
  <c r="AB32" i="28"/>
  <c r="AC32" i="28"/>
  <c r="AF32" i="28"/>
  <c r="AG32" i="28"/>
  <c r="N33" i="28"/>
  <c r="AB33" i="28"/>
  <c r="AC33" i="28"/>
  <c r="AF33" i="28"/>
  <c r="AG33" i="28"/>
  <c r="N34" i="28"/>
  <c r="AB34" i="28"/>
  <c r="AC34" i="28"/>
  <c r="AF34" i="28"/>
  <c r="AG34" i="28"/>
  <c r="N35" i="28"/>
  <c r="AB35" i="28"/>
  <c r="AC35" i="28"/>
  <c r="AF35" i="28"/>
  <c r="AG35" i="28"/>
  <c r="N36" i="28"/>
  <c r="AB36" i="28"/>
  <c r="AC36" i="28"/>
  <c r="AF36" i="28"/>
  <c r="AG36" i="28"/>
  <c r="N37" i="28"/>
  <c r="AB37" i="28"/>
  <c r="AC37" i="28"/>
  <c r="AF37" i="28"/>
  <c r="AG37" i="28"/>
  <c r="N38" i="28"/>
  <c r="AB38" i="28"/>
  <c r="AC38" i="28"/>
  <c r="AF38" i="28"/>
  <c r="AG38" i="28"/>
  <c r="N39" i="28"/>
  <c r="AB39" i="28"/>
  <c r="AC39" i="28"/>
  <c r="AF39" i="28"/>
  <c r="AG39" i="28"/>
  <c r="N40" i="28"/>
  <c r="AB40" i="28"/>
  <c r="AC40" i="28"/>
  <c r="AF40" i="28"/>
  <c r="AG40" i="28"/>
  <c r="N41" i="28"/>
  <c r="AB41" i="28"/>
  <c r="AC41" i="28"/>
  <c r="AF41" i="28"/>
  <c r="AG41" i="28"/>
  <c r="N42" i="28"/>
  <c r="AB42" i="28"/>
  <c r="AC42" i="28"/>
  <c r="AF42" i="28"/>
  <c r="AG42" i="28"/>
  <c r="N43" i="28"/>
  <c r="AB43" i="28"/>
  <c r="AC43" i="28"/>
  <c r="AF43" i="28"/>
  <c r="AG43" i="28"/>
  <c r="N44" i="28"/>
  <c r="AB44" i="28"/>
  <c r="AC44" i="28"/>
  <c r="AF44" i="28"/>
  <c r="AG44" i="28"/>
  <c r="N45" i="28"/>
  <c r="AB45" i="28"/>
  <c r="AC45" i="28"/>
  <c r="AF45" i="28"/>
  <c r="AG45" i="28"/>
  <c r="N46" i="28"/>
  <c r="AB46" i="28"/>
  <c r="AC46" i="28"/>
  <c r="AF46" i="28"/>
  <c r="AG46" i="28"/>
  <c r="N47" i="28"/>
  <c r="AB47" i="28"/>
  <c r="AC47" i="28"/>
  <c r="AF47" i="28"/>
  <c r="AG47" i="28"/>
  <c r="N48" i="28"/>
  <c r="AB48" i="28"/>
  <c r="AC48" i="28"/>
  <c r="AF48" i="28"/>
  <c r="AG48" i="28"/>
  <c r="N49" i="28"/>
  <c r="AB49" i="28"/>
  <c r="AC49" i="28"/>
  <c r="AF49" i="28"/>
  <c r="AG49" i="28"/>
  <c r="N50" i="28"/>
  <c r="AB50" i="28"/>
  <c r="AC50" i="28"/>
  <c r="AF50" i="28"/>
  <c r="AG50" i="28"/>
  <c r="N51" i="28"/>
  <c r="AB51" i="28"/>
  <c r="AC51" i="28"/>
  <c r="AF51" i="28"/>
  <c r="AG51" i="28"/>
  <c r="N57" i="28"/>
  <c r="AB57" i="28"/>
  <c r="AC57" i="28"/>
  <c r="AF57" i="28"/>
  <c r="AG57" i="28"/>
  <c r="N58" i="28"/>
  <c r="AB58" i="28"/>
  <c r="AC58" i="28"/>
  <c r="AF58" i="28"/>
  <c r="AG58" i="28"/>
  <c r="N59" i="28"/>
  <c r="AB59" i="28"/>
  <c r="AC59" i="28"/>
  <c r="AF59" i="28"/>
  <c r="AG59" i="28"/>
  <c r="N60" i="28"/>
  <c r="AB60" i="28"/>
  <c r="AC60" i="28"/>
  <c r="AF60" i="28"/>
  <c r="AG60" i="28"/>
  <c r="N61" i="28"/>
  <c r="AB61" i="28"/>
  <c r="AC61" i="28"/>
  <c r="AF61" i="28"/>
  <c r="AG61" i="28"/>
  <c r="N62" i="28"/>
  <c r="AB62" i="28"/>
  <c r="AC62" i="28"/>
  <c r="AF62" i="28"/>
  <c r="AG62" i="28"/>
  <c r="N63" i="28"/>
  <c r="AB63" i="28"/>
  <c r="AC63" i="28"/>
  <c r="AF63" i="28"/>
  <c r="AG63" i="28"/>
  <c r="N64" i="28"/>
  <c r="AB64" i="28"/>
  <c r="AC64" i="28"/>
  <c r="AF64" i="28"/>
  <c r="AG64" i="28"/>
  <c r="N65" i="28"/>
  <c r="AB65" i="28"/>
  <c r="AC65" i="28"/>
  <c r="AF65" i="28"/>
  <c r="AG65" i="28"/>
  <c r="N66" i="28"/>
  <c r="AB66" i="28"/>
  <c r="AC66" i="28"/>
  <c r="AF66" i="28"/>
  <c r="AG66" i="28"/>
  <c r="N67" i="28"/>
  <c r="AB67" i="28"/>
  <c r="AC67" i="28"/>
  <c r="AF67" i="28"/>
  <c r="AG67" i="28"/>
  <c r="N68" i="28"/>
  <c r="AB68" i="28"/>
  <c r="AC68" i="28"/>
  <c r="AF68" i="28"/>
  <c r="AG68" i="28"/>
  <c r="N69" i="28"/>
  <c r="AB69" i="28"/>
  <c r="AC69" i="28"/>
  <c r="AF69" i="28"/>
  <c r="AG69" i="28"/>
  <c r="N70" i="28"/>
  <c r="AB70" i="28"/>
  <c r="AC70" i="28"/>
  <c r="AF70" i="28"/>
  <c r="AG70" i="28"/>
  <c r="N71" i="28"/>
  <c r="AB71" i="28"/>
  <c r="AC71" i="28"/>
  <c r="AF71" i="28"/>
  <c r="AG71" i="28"/>
  <c r="N72" i="28"/>
  <c r="AB72" i="28"/>
  <c r="AC72" i="28"/>
  <c r="AF72" i="28"/>
  <c r="AG72" i="28"/>
  <c r="N73" i="28"/>
  <c r="AB73" i="28"/>
  <c r="AC73" i="28"/>
  <c r="AF73" i="28"/>
  <c r="AG73" i="28"/>
  <c r="N74" i="28"/>
  <c r="AB74" i="28"/>
  <c r="AC74" i="28"/>
  <c r="AF74" i="28"/>
  <c r="AG74" i="28"/>
  <c r="N75" i="28"/>
  <c r="AB75" i="28"/>
  <c r="AC75" i="28"/>
  <c r="AF75" i="28"/>
  <c r="AG75" i="28"/>
  <c r="N76" i="28"/>
  <c r="AB76" i="28"/>
  <c r="AC76" i="28"/>
  <c r="AF76" i="28"/>
  <c r="AG76" i="28"/>
  <c r="N77" i="28"/>
  <c r="AB77" i="28"/>
  <c r="AC77" i="28"/>
  <c r="AF77" i="28"/>
  <c r="AG77" i="28"/>
  <c r="N78" i="28"/>
  <c r="AB78" i="28"/>
  <c r="AC78" i="28"/>
  <c r="AF78" i="28"/>
  <c r="AG78" i="28"/>
  <c r="N79" i="28"/>
  <c r="AB79" i="28"/>
  <c r="AC79" i="28"/>
  <c r="AF79" i="28"/>
  <c r="AG79" i="28"/>
  <c r="N80" i="28"/>
  <c r="AB80" i="28"/>
  <c r="AC80" i="28"/>
  <c r="AF80" i="28"/>
  <c r="AG80" i="28"/>
  <c r="N81" i="28"/>
  <c r="AB81" i="28"/>
  <c r="AC81" i="28"/>
  <c r="AF81" i="28"/>
  <c r="AG81" i="28"/>
  <c r="N82" i="28"/>
  <c r="AB82" i="28"/>
  <c r="AC82" i="28"/>
  <c r="AF82" i="28"/>
  <c r="AG82" i="28"/>
  <c r="N83" i="28"/>
  <c r="AB83" i="28"/>
  <c r="AC83" i="28"/>
  <c r="AF83" i="28"/>
  <c r="AG83" i="28"/>
  <c r="N84" i="28"/>
  <c r="AB84" i="28"/>
  <c r="AC84" i="28"/>
  <c r="AF84" i="28"/>
  <c r="AG84" i="28"/>
  <c r="N85" i="28"/>
  <c r="AB85" i="28"/>
  <c r="AC85" i="28"/>
  <c r="AF85" i="28"/>
  <c r="AG85" i="28"/>
  <c r="N86" i="28"/>
  <c r="AB86" i="28"/>
  <c r="AC86" i="28"/>
  <c r="AF86" i="28"/>
  <c r="AG86" i="28"/>
  <c r="N87" i="28"/>
  <c r="AB87" i="28"/>
  <c r="AC87" i="28"/>
  <c r="AF87" i="28"/>
  <c r="AG87" i="28"/>
  <c r="N88" i="28"/>
  <c r="AB88" i="28"/>
  <c r="AC88" i="28"/>
  <c r="AF88" i="28"/>
  <c r="AG88" i="28"/>
  <c r="N89" i="28"/>
  <c r="AB89" i="28"/>
  <c r="AC89" i="28"/>
  <c r="AF89" i="28"/>
  <c r="AG89" i="28"/>
  <c r="N90" i="28"/>
  <c r="AB90" i="28"/>
  <c r="AC90" i="28"/>
  <c r="AF90" i="28"/>
  <c r="AG90" i="28"/>
  <c r="N91" i="28"/>
  <c r="AB91" i="28"/>
  <c r="AC91" i="28"/>
  <c r="AF91" i="28"/>
  <c r="AG91" i="28"/>
  <c r="N92" i="28"/>
  <c r="AB92" i="28"/>
  <c r="AC92" i="28"/>
  <c r="AF92" i="28"/>
  <c r="AG92" i="28"/>
  <c r="N93" i="28"/>
  <c r="AB93" i="28"/>
  <c r="AC93" i="28"/>
  <c r="AF93" i="28"/>
  <c r="AG93" i="28"/>
  <c r="N94" i="28"/>
  <c r="AB94" i="28"/>
  <c r="AC94" i="28"/>
  <c r="AF94" i="28"/>
  <c r="AG94" i="28"/>
  <c r="N95" i="28"/>
  <c r="AB95" i="28"/>
  <c r="AC95" i="28"/>
  <c r="AF95" i="28"/>
  <c r="AG95" i="28"/>
  <c r="N96" i="28"/>
  <c r="AB96" i="28"/>
  <c r="AC96" i="28"/>
  <c r="AF96" i="28"/>
  <c r="AG96" i="28"/>
  <c r="N97" i="28"/>
  <c r="AB97" i="28"/>
  <c r="AC97" i="28"/>
  <c r="AF97" i="28"/>
  <c r="AG97" i="28"/>
  <c r="N98" i="28"/>
  <c r="AB98" i="28"/>
  <c r="AC98" i="28"/>
  <c r="AF98" i="28"/>
  <c r="AG98" i="28"/>
  <c r="N99" i="28"/>
  <c r="AB99" i="28"/>
  <c r="AC99" i="28"/>
  <c r="AF99" i="28"/>
  <c r="AG99" i="28"/>
  <c r="N100" i="28"/>
  <c r="AB100" i="28"/>
  <c r="AC100" i="28"/>
  <c r="AF100" i="28"/>
  <c r="AG100" i="28"/>
  <c r="N101" i="28"/>
  <c r="AB101" i="28"/>
  <c r="AC101" i="28"/>
  <c r="AF101" i="28"/>
  <c r="AG101" i="28"/>
  <c r="N102" i="28"/>
  <c r="AB102" i="28"/>
  <c r="AC102" i="28"/>
  <c r="AF102" i="28"/>
  <c r="AG102" i="28"/>
  <c r="N103" i="28"/>
  <c r="AB103" i="28"/>
  <c r="AC103" i="28"/>
  <c r="AF103" i="28"/>
  <c r="AG103" i="28"/>
  <c r="N5" i="7"/>
  <c r="T5" i="7"/>
  <c r="AJ5" i="7"/>
  <c r="AK5" i="7"/>
  <c r="AL5" i="7"/>
  <c r="AM5" i="7"/>
  <c r="N6" i="7"/>
  <c r="T6" i="7"/>
  <c r="AJ6" i="7"/>
  <c r="AK6" i="7"/>
  <c r="AL6" i="7"/>
  <c r="AM6" i="7"/>
  <c r="N7" i="7"/>
  <c r="T7" i="7"/>
  <c r="AJ7" i="7"/>
  <c r="AK7" i="7"/>
  <c r="AL7" i="7"/>
  <c r="AM7" i="7"/>
  <c r="N8" i="7"/>
  <c r="T8" i="7"/>
  <c r="AJ8" i="7"/>
  <c r="AK8" i="7"/>
  <c r="AL8" i="7"/>
  <c r="AM8" i="7"/>
  <c r="N9" i="7"/>
  <c r="T9" i="7"/>
  <c r="AJ9" i="7"/>
  <c r="AK9" i="7"/>
  <c r="AL9" i="7"/>
  <c r="AM9" i="7"/>
  <c r="N10" i="7"/>
  <c r="T10" i="7"/>
  <c r="AJ10" i="7"/>
  <c r="AK10" i="7"/>
  <c r="AL10" i="7"/>
  <c r="AM10" i="7"/>
  <c r="N11" i="7"/>
  <c r="T11" i="7"/>
  <c r="AJ11" i="7"/>
  <c r="AK11" i="7"/>
  <c r="AL11" i="7"/>
  <c r="AM11" i="7"/>
  <c r="N12" i="7"/>
  <c r="T12" i="7"/>
  <c r="AJ12" i="7"/>
  <c r="AK12" i="7"/>
  <c r="AL12" i="7"/>
  <c r="AM12" i="7"/>
  <c r="N13" i="7"/>
  <c r="T13" i="7"/>
  <c r="AJ13" i="7"/>
  <c r="AK13" i="7"/>
  <c r="AL13" i="7"/>
  <c r="AM13" i="7"/>
  <c r="N14" i="7"/>
  <c r="T14" i="7"/>
  <c r="AJ14" i="7"/>
  <c r="AK14" i="7"/>
  <c r="AL14" i="7"/>
  <c r="AM14" i="7"/>
  <c r="N15" i="7"/>
  <c r="T15" i="7"/>
  <c r="AJ15" i="7"/>
  <c r="AK15" i="7"/>
  <c r="AL15" i="7"/>
  <c r="AM15" i="7"/>
  <c r="N16" i="7"/>
  <c r="T16" i="7"/>
  <c r="AJ16" i="7"/>
  <c r="AK16" i="7"/>
  <c r="AL16" i="7"/>
  <c r="AM16" i="7"/>
  <c r="N17" i="7"/>
  <c r="T17" i="7"/>
  <c r="AJ17" i="7"/>
  <c r="AK17" i="7"/>
  <c r="AL17" i="7"/>
  <c r="AM17" i="7"/>
  <c r="N18" i="7"/>
  <c r="T18" i="7"/>
  <c r="AJ18" i="7"/>
  <c r="AK18" i="7"/>
  <c r="AL18" i="7"/>
  <c r="AM18" i="7"/>
  <c r="N19" i="7"/>
  <c r="T19" i="7"/>
  <c r="AJ19" i="7"/>
  <c r="AK19" i="7"/>
  <c r="AL19" i="7"/>
  <c r="AM19" i="7"/>
  <c r="N20" i="7"/>
  <c r="T20" i="7"/>
  <c r="AJ20" i="7"/>
  <c r="AK20" i="7"/>
  <c r="AL20" i="7"/>
  <c r="AM20" i="7"/>
  <c r="N21" i="7"/>
  <c r="T21" i="7"/>
  <c r="AJ21" i="7"/>
  <c r="AK21" i="7"/>
  <c r="AL21" i="7"/>
  <c r="AM21" i="7"/>
  <c r="N22" i="7"/>
  <c r="T22" i="7"/>
  <c r="AJ22" i="7"/>
  <c r="AK22" i="7"/>
  <c r="AL22" i="7"/>
  <c r="AM22" i="7"/>
  <c r="N23" i="7"/>
  <c r="T23" i="7"/>
  <c r="AJ23" i="7"/>
  <c r="AK23" i="7"/>
  <c r="AL23" i="7"/>
  <c r="AM23" i="7"/>
  <c r="N24" i="7"/>
  <c r="T24" i="7"/>
  <c r="AJ24" i="7"/>
  <c r="AK24" i="7"/>
  <c r="AL24" i="7"/>
  <c r="AM24" i="7"/>
  <c r="N25" i="7"/>
  <c r="T25" i="7"/>
  <c r="AJ25" i="7"/>
  <c r="AK25" i="7"/>
  <c r="AL25" i="7"/>
  <c r="AM25" i="7"/>
  <c r="N26" i="7"/>
  <c r="T26" i="7"/>
  <c r="AJ26" i="7"/>
  <c r="AK26" i="7"/>
  <c r="AL26" i="7"/>
  <c r="AM26" i="7"/>
  <c r="N27" i="7"/>
  <c r="T27" i="7"/>
  <c r="AJ27" i="7"/>
  <c r="AK27" i="7"/>
  <c r="AL27" i="7"/>
  <c r="AM27" i="7"/>
  <c r="N28" i="7"/>
  <c r="T28" i="7"/>
  <c r="AJ28" i="7"/>
  <c r="AK28" i="7"/>
  <c r="AL28" i="7"/>
  <c r="AM28" i="7"/>
  <c r="N29" i="7"/>
  <c r="T29" i="7"/>
  <c r="AJ29" i="7"/>
  <c r="AK29" i="7"/>
  <c r="AL29" i="7"/>
  <c r="AM29" i="7"/>
  <c r="N30" i="7"/>
  <c r="T30" i="7"/>
  <c r="AJ30" i="7"/>
  <c r="AK30" i="7"/>
  <c r="AL30" i="7"/>
  <c r="AM30" i="7"/>
  <c r="N31" i="7"/>
  <c r="T31" i="7"/>
  <c r="AJ31" i="7"/>
  <c r="AK31" i="7"/>
  <c r="AL31" i="7"/>
  <c r="AM31" i="7"/>
  <c r="N32" i="7"/>
  <c r="T32" i="7"/>
  <c r="AJ32" i="7"/>
  <c r="AK32" i="7"/>
  <c r="AL32" i="7"/>
  <c r="AM32" i="7"/>
  <c r="N33" i="7"/>
  <c r="T33" i="7"/>
  <c r="AJ33" i="7"/>
  <c r="AK33" i="7"/>
  <c r="AL33" i="7"/>
  <c r="AM33" i="7"/>
  <c r="N34" i="7"/>
  <c r="T34" i="7"/>
  <c r="AJ34" i="7"/>
  <c r="AK34" i="7"/>
  <c r="AL34" i="7"/>
  <c r="AM34" i="7"/>
  <c r="N35" i="7"/>
  <c r="T35" i="7"/>
  <c r="AJ35" i="7"/>
  <c r="AK35" i="7"/>
  <c r="AL35" i="7"/>
  <c r="AM35" i="7"/>
  <c r="N36" i="7"/>
  <c r="T36" i="7"/>
  <c r="AJ36" i="7"/>
  <c r="AK36" i="7"/>
  <c r="AL36" i="7"/>
  <c r="AM36" i="7"/>
  <c r="N37" i="7"/>
  <c r="T37" i="7"/>
  <c r="AJ37" i="7"/>
  <c r="AK37" i="7"/>
  <c r="AL37" i="7"/>
  <c r="AM37" i="7"/>
  <c r="N38" i="7"/>
  <c r="T38" i="7"/>
  <c r="AJ38" i="7"/>
  <c r="AK38" i="7"/>
  <c r="AL38" i="7"/>
  <c r="AM38" i="7"/>
  <c r="N39" i="7"/>
  <c r="T39" i="7"/>
  <c r="AJ39" i="7"/>
  <c r="AK39" i="7"/>
  <c r="AL39" i="7"/>
  <c r="AM39" i="7"/>
  <c r="N40" i="7"/>
  <c r="T40" i="7"/>
  <c r="AJ40" i="7"/>
  <c r="AK40" i="7"/>
  <c r="AL40" i="7"/>
  <c r="AM40" i="7"/>
  <c r="N41" i="7"/>
  <c r="T41" i="7"/>
  <c r="AJ41" i="7"/>
  <c r="AK41" i="7"/>
  <c r="AL41" i="7"/>
  <c r="AM41" i="7"/>
  <c r="N42" i="7"/>
  <c r="T42" i="7"/>
  <c r="AJ42" i="7"/>
  <c r="AK42" i="7"/>
  <c r="AL42" i="7"/>
  <c r="AM42" i="7"/>
  <c r="N43" i="7"/>
  <c r="T43" i="7"/>
  <c r="AJ43" i="7"/>
  <c r="AK43" i="7"/>
  <c r="AL43" i="7"/>
  <c r="AM43" i="7"/>
  <c r="N44" i="7"/>
  <c r="T44" i="7"/>
  <c r="AJ44" i="7"/>
  <c r="AK44" i="7"/>
  <c r="AL44" i="7"/>
  <c r="AM44" i="7"/>
  <c r="N45" i="7"/>
  <c r="T45" i="7"/>
  <c r="AJ45" i="7"/>
  <c r="AK45" i="7"/>
  <c r="AL45" i="7"/>
  <c r="AM45" i="7"/>
  <c r="N46" i="7"/>
  <c r="T46" i="7"/>
  <c r="AJ46" i="7"/>
  <c r="AK46" i="7"/>
  <c r="AL46" i="7"/>
  <c r="AM46" i="7"/>
  <c r="N47" i="7"/>
  <c r="T47" i="7"/>
  <c r="AJ47" i="7"/>
  <c r="AK47" i="7"/>
  <c r="AL47" i="7"/>
  <c r="AM47" i="7"/>
  <c r="N48" i="7"/>
  <c r="T48" i="7"/>
  <c r="AJ48" i="7"/>
  <c r="AK48" i="7"/>
  <c r="AL48" i="7"/>
  <c r="AM48" i="7"/>
  <c r="N49" i="7"/>
  <c r="T49" i="7"/>
  <c r="AJ49" i="7"/>
  <c r="AK49" i="7"/>
  <c r="AL49" i="7"/>
  <c r="AM49" i="7"/>
  <c r="N50" i="7"/>
  <c r="T50" i="7"/>
  <c r="AJ50" i="7"/>
  <c r="AK50" i="7"/>
  <c r="AL50" i="7"/>
  <c r="AM50" i="7"/>
  <c r="N51" i="7"/>
  <c r="T51" i="7"/>
  <c r="AJ51" i="7"/>
  <c r="AK51" i="7"/>
  <c r="AL51" i="7"/>
  <c r="AM51" i="7"/>
  <c r="N53" i="7"/>
  <c r="T53" i="7"/>
  <c r="AJ53" i="7"/>
  <c r="AK53" i="7"/>
  <c r="AL53" i="7"/>
  <c r="AM53" i="7"/>
  <c r="N58" i="7"/>
  <c r="AE58" i="7"/>
  <c r="AF58" i="7"/>
  <c r="AJ58" i="7"/>
  <c r="AK58" i="7"/>
  <c r="N5" i="8"/>
  <c r="T5" i="8"/>
  <c r="AE5" i="8"/>
  <c r="AF5" i="8"/>
  <c r="AG5" i="8"/>
  <c r="AJ5" i="8"/>
  <c r="AK5" i="8"/>
  <c r="AL5" i="8"/>
  <c r="AM5" i="8"/>
  <c r="AO5" i="8"/>
  <c r="AP5" i="8"/>
  <c r="N6" i="8"/>
  <c r="T6" i="8"/>
  <c r="AE6" i="8"/>
  <c r="AF6" i="8"/>
  <c r="AG6" i="8"/>
  <c r="AJ6" i="8"/>
  <c r="AK6" i="8"/>
  <c r="AL6" i="8"/>
  <c r="AM6" i="8"/>
  <c r="AO6" i="8"/>
  <c r="AP6" i="8"/>
  <c r="N7" i="8"/>
  <c r="T7" i="8"/>
  <c r="AE7" i="8"/>
  <c r="AF7" i="8"/>
  <c r="AG7" i="8"/>
  <c r="AJ7" i="8"/>
  <c r="AK7" i="8"/>
  <c r="AL7" i="8"/>
  <c r="AM7" i="8"/>
  <c r="AO7" i="8"/>
  <c r="AP7" i="8"/>
  <c r="N8" i="8"/>
  <c r="T8" i="8"/>
  <c r="AE8" i="8"/>
  <c r="AF8" i="8"/>
  <c r="AG8" i="8"/>
  <c r="AJ8" i="8"/>
  <c r="AK8" i="8"/>
  <c r="AL8" i="8"/>
  <c r="AM8" i="8"/>
  <c r="AO8" i="8"/>
  <c r="AP8" i="8"/>
  <c r="N9" i="8"/>
  <c r="T9" i="8"/>
  <c r="AE9" i="8"/>
  <c r="AF9" i="8"/>
  <c r="AG9" i="8"/>
  <c r="AJ9" i="8"/>
  <c r="AK9" i="8"/>
  <c r="AL9" i="8"/>
  <c r="AM9" i="8"/>
  <c r="AO9" i="8"/>
  <c r="AP9" i="8"/>
  <c r="N10" i="8"/>
  <c r="T10" i="8"/>
  <c r="AE10" i="8"/>
  <c r="AF10" i="8"/>
  <c r="AG10" i="8"/>
  <c r="AJ10" i="8"/>
  <c r="AK10" i="8"/>
  <c r="AL10" i="8"/>
  <c r="AM10" i="8"/>
  <c r="AO10" i="8"/>
  <c r="AP10" i="8"/>
  <c r="N11" i="8"/>
  <c r="T11" i="8"/>
  <c r="AE11" i="8"/>
  <c r="AF11" i="8"/>
  <c r="AG11" i="8"/>
  <c r="AJ11" i="8"/>
  <c r="AK11" i="8"/>
  <c r="AL11" i="8"/>
  <c r="AM11" i="8"/>
  <c r="AO11" i="8"/>
  <c r="AP11" i="8"/>
  <c r="N12" i="8"/>
  <c r="T12" i="8"/>
  <c r="AE12" i="8"/>
  <c r="AF12" i="8"/>
  <c r="AG12" i="8"/>
  <c r="AJ12" i="8"/>
  <c r="AK12" i="8"/>
  <c r="AL12" i="8"/>
  <c r="AM12" i="8"/>
  <c r="AO12" i="8"/>
  <c r="AP12" i="8"/>
  <c r="N13" i="8"/>
  <c r="T13" i="8"/>
  <c r="AE13" i="8"/>
  <c r="AF13" i="8"/>
  <c r="AG13" i="8"/>
  <c r="AJ13" i="8"/>
  <c r="AK13" i="8"/>
  <c r="AL13" i="8"/>
  <c r="AM13" i="8"/>
  <c r="AO13" i="8"/>
  <c r="AP13" i="8"/>
  <c r="N14" i="8"/>
  <c r="T14" i="8"/>
  <c r="AE14" i="8"/>
  <c r="AF14" i="8"/>
  <c r="AG14" i="8"/>
  <c r="AJ14" i="8"/>
  <c r="AK14" i="8"/>
  <c r="AL14" i="8"/>
  <c r="AM14" i="8"/>
  <c r="AO14" i="8"/>
  <c r="AP14" i="8"/>
  <c r="N15" i="8"/>
  <c r="T15" i="8"/>
  <c r="AE15" i="8"/>
  <c r="AF15" i="8"/>
  <c r="AG15" i="8"/>
  <c r="AJ15" i="8"/>
  <c r="AK15" i="8"/>
  <c r="AL15" i="8"/>
  <c r="AM15" i="8"/>
  <c r="AO15" i="8"/>
  <c r="AP15" i="8"/>
  <c r="N16" i="8"/>
  <c r="T16" i="8"/>
  <c r="AE16" i="8"/>
  <c r="AF16" i="8"/>
  <c r="AG16" i="8"/>
  <c r="AJ16" i="8"/>
  <c r="AK16" i="8"/>
  <c r="AL16" i="8"/>
  <c r="AM16" i="8"/>
  <c r="AO16" i="8"/>
  <c r="AP16" i="8"/>
  <c r="N17" i="8"/>
  <c r="T17" i="8"/>
  <c r="AE17" i="8"/>
  <c r="AF17" i="8"/>
  <c r="AG17" i="8"/>
  <c r="AJ17" i="8"/>
  <c r="AK17" i="8"/>
  <c r="AL17" i="8"/>
  <c r="AM17" i="8"/>
  <c r="AO17" i="8"/>
  <c r="AP17" i="8"/>
  <c r="N18" i="8"/>
  <c r="T18" i="8"/>
  <c r="AE18" i="8"/>
  <c r="AF18" i="8"/>
  <c r="AG18" i="8"/>
  <c r="AJ18" i="8"/>
  <c r="AK18" i="8"/>
  <c r="AL18" i="8"/>
  <c r="AM18" i="8"/>
  <c r="AO18" i="8"/>
  <c r="AP18" i="8"/>
  <c r="N19" i="8"/>
  <c r="T19" i="8"/>
  <c r="AE19" i="8"/>
  <c r="AF19" i="8"/>
  <c r="AG19" i="8"/>
  <c r="AJ19" i="8"/>
  <c r="AK19" i="8"/>
  <c r="AL19" i="8"/>
  <c r="AM19" i="8"/>
  <c r="AO19" i="8"/>
  <c r="AP19" i="8"/>
  <c r="N20" i="8"/>
  <c r="T20" i="8"/>
  <c r="AE20" i="8"/>
  <c r="AF20" i="8"/>
  <c r="AG20" i="8"/>
  <c r="AJ20" i="8"/>
  <c r="AK20" i="8"/>
  <c r="AL20" i="8"/>
  <c r="AM20" i="8"/>
  <c r="AO20" i="8"/>
  <c r="AP20" i="8"/>
  <c r="N21" i="8"/>
  <c r="T21" i="8"/>
  <c r="AE21" i="8"/>
  <c r="AF21" i="8"/>
  <c r="AG21" i="8"/>
  <c r="AJ21" i="8"/>
  <c r="AK21" i="8"/>
  <c r="AL21" i="8"/>
  <c r="AM21" i="8"/>
  <c r="AO21" i="8"/>
  <c r="AP21" i="8"/>
  <c r="N22" i="8"/>
  <c r="T22" i="8"/>
  <c r="AE22" i="8"/>
  <c r="AF22" i="8"/>
  <c r="AG22" i="8"/>
  <c r="AJ22" i="8"/>
  <c r="AK22" i="8"/>
  <c r="AL22" i="8"/>
  <c r="AM22" i="8"/>
  <c r="AO22" i="8"/>
  <c r="AP22" i="8"/>
  <c r="N23" i="8"/>
  <c r="T23" i="8"/>
  <c r="AE23" i="8"/>
  <c r="AF23" i="8"/>
  <c r="AG23" i="8"/>
  <c r="AJ23" i="8"/>
  <c r="AK23" i="8"/>
  <c r="AL23" i="8"/>
  <c r="AM23" i="8"/>
  <c r="AO23" i="8"/>
  <c r="AP23" i="8"/>
  <c r="N24" i="8"/>
  <c r="T24" i="8"/>
  <c r="AE24" i="8"/>
  <c r="AF24" i="8"/>
  <c r="AG24" i="8"/>
  <c r="AJ24" i="8"/>
  <c r="AK24" i="8"/>
  <c r="AL24" i="8"/>
  <c r="AM24" i="8"/>
  <c r="AO24" i="8"/>
  <c r="AP24" i="8"/>
  <c r="N25" i="8"/>
  <c r="T25" i="8"/>
  <c r="AE25" i="8"/>
  <c r="AF25" i="8"/>
  <c r="AG25" i="8"/>
  <c r="AJ25" i="8"/>
  <c r="AK25" i="8"/>
  <c r="AL25" i="8"/>
  <c r="AM25" i="8"/>
  <c r="AO25" i="8"/>
  <c r="AP25" i="8"/>
  <c r="N26" i="8"/>
  <c r="T26" i="8"/>
  <c r="AE26" i="8"/>
  <c r="AF26" i="8"/>
  <c r="AG26" i="8"/>
  <c r="AJ26" i="8"/>
  <c r="AK26" i="8"/>
  <c r="AL26" i="8"/>
  <c r="AM26" i="8"/>
  <c r="AO26" i="8"/>
  <c r="AP26" i="8"/>
  <c r="N27" i="8"/>
  <c r="T27" i="8"/>
  <c r="AE27" i="8"/>
  <c r="AF27" i="8"/>
  <c r="AG27" i="8"/>
  <c r="AJ27" i="8"/>
  <c r="AK27" i="8"/>
  <c r="AL27" i="8"/>
  <c r="AM27" i="8"/>
  <c r="AO27" i="8"/>
  <c r="AP27" i="8"/>
  <c r="N28" i="8"/>
  <c r="T28" i="8"/>
  <c r="AE28" i="8"/>
  <c r="AF28" i="8"/>
  <c r="AG28" i="8"/>
  <c r="AJ28" i="8"/>
  <c r="AK28" i="8"/>
  <c r="AL28" i="8"/>
  <c r="AM28" i="8"/>
  <c r="AO28" i="8"/>
  <c r="AP28" i="8"/>
  <c r="N29" i="8"/>
  <c r="T29" i="8"/>
  <c r="AE29" i="8"/>
  <c r="AF29" i="8"/>
  <c r="AG29" i="8"/>
  <c r="AJ29" i="8"/>
  <c r="AK29" i="8"/>
  <c r="AL29" i="8"/>
  <c r="AM29" i="8"/>
  <c r="AO29" i="8"/>
  <c r="AP29" i="8"/>
  <c r="N30" i="8"/>
  <c r="T30" i="8"/>
  <c r="AE30" i="8"/>
  <c r="AF30" i="8"/>
  <c r="AG30" i="8"/>
  <c r="AJ30" i="8"/>
  <c r="AK30" i="8"/>
  <c r="AL30" i="8"/>
  <c r="AM30" i="8"/>
  <c r="AO30" i="8"/>
  <c r="AP30" i="8"/>
  <c r="N31" i="8"/>
  <c r="T31" i="8"/>
  <c r="AE31" i="8"/>
  <c r="AF31" i="8"/>
  <c r="AG31" i="8"/>
  <c r="AJ31" i="8"/>
  <c r="AK31" i="8"/>
  <c r="AL31" i="8"/>
  <c r="AM31" i="8"/>
  <c r="AO31" i="8"/>
  <c r="AP31" i="8"/>
  <c r="N32" i="8"/>
  <c r="T32" i="8"/>
  <c r="AE32" i="8"/>
  <c r="AF32" i="8"/>
  <c r="AG32" i="8"/>
  <c r="AJ32" i="8"/>
  <c r="AK32" i="8"/>
  <c r="AL32" i="8"/>
  <c r="AM32" i="8"/>
  <c r="AO32" i="8"/>
  <c r="AP32" i="8"/>
  <c r="N33" i="8"/>
  <c r="T33" i="8"/>
  <c r="AE33" i="8"/>
  <c r="AF33" i="8"/>
  <c r="AG33" i="8"/>
  <c r="AJ33" i="8"/>
  <c r="AK33" i="8"/>
  <c r="AL33" i="8"/>
  <c r="AM33" i="8"/>
  <c r="AO33" i="8"/>
  <c r="AP33" i="8"/>
  <c r="N34" i="8"/>
  <c r="T34" i="8"/>
  <c r="AE34" i="8"/>
  <c r="AF34" i="8"/>
  <c r="AG34" i="8"/>
  <c r="AJ34" i="8"/>
  <c r="AK34" i="8"/>
  <c r="AL34" i="8"/>
  <c r="AM34" i="8"/>
  <c r="AO34" i="8"/>
  <c r="AP34" i="8"/>
  <c r="N35" i="8"/>
  <c r="T35" i="8"/>
  <c r="AE35" i="8"/>
  <c r="AF35" i="8"/>
  <c r="AG35" i="8"/>
  <c r="AJ35" i="8"/>
  <c r="AK35" i="8"/>
  <c r="AL35" i="8"/>
  <c r="AM35" i="8"/>
  <c r="AO35" i="8"/>
  <c r="AP35" i="8"/>
  <c r="N36" i="8"/>
  <c r="T36" i="8"/>
  <c r="AE36" i="8"/>
  <c r="AF36" i="8"/>
  <c r="AG36" i="8"/>
  <c r="AJ36" i="8"/>
  <c r="AK36" i="8"/>
  <c r="AL36" i="8"/>
  <c r="AM36" i="8"/>
  <c r="AO36" i="8"/>
  <c r="AP36" i="8"/>
  <c r="N37" i="8"/>
  <c r="T37" i="8"/>
  <c r="AE37" i="8"/>
  <c r="AF37" i="8"/>
  <c r="AG37" i="8"/>
  <c r="AJ37" i="8"/>
  <c r="AK37" i="8"/>
  <c r="AL37" i="8"/>
  <c r="AM37" i="8"/>
  <c r="AO37" i="8"/>
  <c r="AP37" i="8"/>
  <c r="N38" i="8"/>
  <c r="T38" i="8"/>
  <c r="AE38" i="8"/>
  <c r="AF38" i="8"/>
  <c r="AG38" i="8"/>
  <c r="AJ38" i="8"/>
  <c r="AK38" i="8"/>
  <c r="AL38" i="8"/>
  <c r="AM38" i="8"/>
  <c r="AO38" i="8"/>
  <c r="AP38" i="8"/>
  <c r="N39" i="8"/>
  <c r="T39" i="8"/>
  <c r="AE39" i="8"/>
  <c r="AF39" i="8"/>
  <c r="AG39" i="8"/>
  <c r="AJ39" i="8"/>
  <c r="AK39" i="8"/>
  <c r="AL39" i="8"/>
  <c r="AM39" i="8"/>
  <c r="AO39" i="8"/>
  <c r="AP39" i="8"/>
  <c r="N40" i="8"/>
  <c r="T40" i="8"/>
  <c r="AE40" i="8"/>
  <c r="AF40" i="8"/>
  <c r="AG40" i="8"/>
  <c r="AJ40" i="8"/>
  <c r="AK40" i="8"/>
  <c r="AL40" i="8"/>
  <c r="AM40" i="8"/>
  <c r="AO40" i="8"/>
  <c r="AP40" i="8"/>
  <c r="N41" i="8"/>
  <c r="T41" i="8"/>
  <c r="AE41" i="8"/>
  <c r="AF41" i="8"/>
  <c r="AG41" i="8"/>
  <c r="AJ41" i="8"/>
  <c r="AK41" i="8"/>
  <c r="AL41" i="8"/>
  <c r="AM41" i="8"/>
  <c r="AO41" i="8"/>
  <c r="AP41" i="8"/>
  <c r="N42" i="8"/>
  <c r="T42" i="8"/>
  <c r="AE42" i="8"/>
  <c r="AF42" i="8"/>
  <c r="AG42" i="8"/>
  <c r="AJ42" i="8"/>
  <c r="AK42" i="8"/>
  <c r="AL42" i="8"/>
  <c r="AM42" i="8"/>
  <c r="AO42" i="8"/>
  <c r="AP42" i="8"/>
  <c r="N43" i="8"/>
  <c r="T43" i="8"/>
  <c r="AE43" i="8"/>
  <c r="AF43" i="8"/>
  <c r="AG43" i="8"/>
  <c r="AJ43" i="8"/>
  <c r="AK43" i="8"/>
  <c r="AL43" i="8"/>
  <c r="AM43" i="8"/>
  <c r="AO43" i="8"/>
  <c r="AP43" i="8"/>
  <c r="N44" i="8"/>
  <c r="T44" i="8"/>
  <c r="AE44" i="8"/>
  <c r="AF44" i="8"/>
  <c r="AG44" i="8"/>
  <c r="AJ44" i="8"/>
  <c r="AK44" i="8"/>
  <c r="AL44" i="8"/>
  <c r="AM44" i="8"/>
  <c r="AO44" i="8"/>
  <c r="AP44" i="8"/>
  <c r="N45" i="8"/>
  <c r="T45" i="8"/>
  <c r="AE45" i="8"/>
  <c r="AF45" i="8"/>
  <c r="AG45" i="8"/>
  <c r="AJ45" i="8"/>
  <c r="AK45" i="8"/>
  <c r="AL45" i="8"/>
  <c r="AM45" i="8"/>
  <c r="AO45" i="8"/>
  <c r="AP45" i="8"/>
  <c r="N46" i="8"/>
  <c r="T46" i="8"/>
  <c r="AE46" i="8"/>
  <c r="AF46" i="8"/>
  <c r="AG46" i="8"/>
  <c r="AJ46" i="8"/>
  <c r="AK46" i="8"/>
  <c r="AL46" i="8"/>
  <c r="AM46" i="8"/>
  <c r="AO46" i="8"/>
  <c r="AP46" i="8"/>
  <c r="N47" i="8"/>
  <c r="T47" i="8"/>
  <c r="AE47" i="8"/>
  <c r="AF47" i="8"/>
  <c r="AG47" i="8"/>
  <c r="AJ47" i="8"/>
  <c r="AK47" i="8"/>
  <c r="AL47" i="8"/>
  <c r="AM47" i="8"/>
  <c r="AO47" i="8"/>
  <c r="AP47" i="8"/>
  <c r="N48" i="8"/>
  <c r="T48" i="8"/>
  <c r="AE48" i="8"/>
  <c r="AF48" i="8"/>
  <c r="AG48" i="8"/>
  <c r="AJ48" i="8"/>
  <c r="AK48" i="8"/>
  <c r="AL48" i="8"/>
  <c r="AM48" i="8"/>
  <c r="AO48" i="8"/>
  <c r="AP48" i="8"/>
  <c r="N49" i="8"/>
  <c r="T49" i="8"/>
  <c r="AE49" i="8"/>
  <c r="AF49" i="8"/>
  <c r="AG49" i="8"/>
  <c r="AJ49" i="8"/>
  <c r="AK49" i="8"/>
  <c r="AL49" i="8"/>
  <c r="AM49" i="8"/>
  <c r="AO49" i="8"/>
  <c r="AP49" i="8"/>
  <c r="N50" i="8"/>
  <c r="T50" i="8"/>
  <c r="AE50" i="8"/>
  <c r="AF50" i="8"/>
  <c r="AG50" i="8"/>
  <c r="AJ50" i="8"/>
  <c r="AK50" i="8"/>
  <c r="AL50" i="8"/>
  <c r="AM50" i="8"/>
  <c r="AO50" i="8"/>
  <c r="AP50" i="8"/>
  <c r="N51" i="8"/>
  <c r="T51" i="8"/>
  <c r="AE51" i="8"/>
  <c r="AF51" i="8"/>
  <c r="AG51" i="8"/>
  <c r="AJ51" i="8"/>
  <c r="AK51" i="8"/>
  <c r="AL51" i="8"/>
  <c r="AM51" i="8"/>
  <c r="AO51" i="8"/>
  <c r="AP51" i="8"/>
  <c r="N53" i="8"/>
  <c r="T53" i="8"/>
  <c r="AE53" i="8"/>
  <c r="AF53" i="8"/>
  <c r="AG53" i="8"/>
  <c r="AJ53" i="8"/>
  <c r="AK53" i="8"/>
  <c r="AL53" i="8"/>
  <c r="AM53" i="8"/>
  <c r="AO53" i="8"/>
  <c r="AP53" i="8"/>
  <c r="AO55" i="8"/>
  <c r="AP55" i="8"/>
  <c r="AE58" i="8"/>
  <c r="AF58" i="8"/>
  <c r="N5" i="9"/>
  <c r="T5" i="9"/>
  <c r="AE5" i="9"/>
  <c r="AF5" i="9"/>
  <c r="AG5" i="9"/>
  <c r="AJ5" i="9"/>
  <c r="AK5" i="9"/>
  <c r="AL5" i="9"/>
  <c r="AM5" i="9"/>
  <c r="AO5" i="9"/>
  <c r="AP5" i="9"/>
  <c r="N6" i="9"/>
  <c r="T6" i="9"/>
  <c r="AE6" i="9"/>
  <c r="AF6" i="9"/>
  <c r="AG6" i="9"/>
  <c r="AJ6" i="9"/>
  <c r="AK6" i="9"/>
  <c r="AL6" i="9"/>
  <c r="AM6" i="9"/>
  <c r="AO6" i="9"/>
  <c r="AP6" i="9"/>
  <c r="N7" i="9"/>
  <c r="T7" i="9"/>
  <c r="AE7" i="9"/>
  <c r="AF7" i="9"/>
  <c r="AG7" i="9"/>
  <c r="AJ7" i="9"/>
  <c r="AK7" i="9"/>
  <c r="AL7" i="9"/>
  <c r="AM7" i="9"/>
  <c r="AO7" i="9"/>
  <c r="AP7" i="9"/>
  <c r="N8" i="9"/>
  <c r="T8" i="9"/>
  <c r="AE8" i="9"/>
  <c r="AF8" i="9"/>
  <c r="AG8" i="9"/>
  <c r="AJ8" i="9"/>
  <c r="AK8" i="9"/>
  <c r="AL8" i="9"/>
  <c r="AM8" i="9"/>
  <c r="AO8" i="9"/>
  <c r="AP8" i="9"/>
  <c r="N9" i="9"/>
  <c r="T9" i="9"/>
  <c r="AE9" i="9"/>
  <c r="AF9" i="9"/>
  <c r="AG9" i="9"/>
  <c r="AJ9" i="9"/>
  <c r="AK9" i="9"/>
  <c r="AL9" i="9"/>
  <c r="AM9" i="9"/>
  <c r="AO9" i="9"/>
  <c r="AP9" i="9"/>
  <c r="N10" i="9"/>
  <c r="T10" i="9"/>
  <c r="AE10" i="9"/>
  <c r="AF10" i="9"/>
  <c r="AG10" i="9"/>
  <c r="AJ10" i="9"/>
  <c r="AK10" i="9"/>
  <c r="AL10" i="9"/>
  <c r="AM10" i="9"/>
  <c r="AO10" i="9"/>
  <c r="AP10" i="9"/>
  <c r="N11" i="9"/>
  <c r="T11" i="9"/>
  <c r="AE11" i="9"/>
  <c r="AF11" i="9"/>
  <c r="AG11" i="9"/>
  <c r="AJ11" i="9"/>
  <c r="AK11" i="9"/>
  <c r="AL11" i="9"/>
  <c r="AM11" i="9"/>
  <c r="AO11" i="9"/>
  <c r="AP11" i="9"/>
  <c r="N12" i="9"/>
  <c r="T12" i="9"/>
  <c r="AE12" i="9"/>
  <c r="AF12" i="9"/>
  <c r="AG12" i="9"/>
  <c r="AJ12" i="9"/>
  <c r="AK12" i="9"/>
  <c r="AL12" i="9"/>
  <c r="AM12" i="9"/>
  <c r="AO12" i="9"/>
  <c r="AP12" i="9"/>
  <c r="N13" i="9"/>
  <c r="T13" i="9"/>
  <c r="AE13" i="9"/>
  <c r="AF13" i="9"/>
  <c r="AG13" i="9"/>
  <c r="AJ13" i="9"/>
  <c r="AK13" i="9"/>
  <c r="AL13" i="9"/>
  <c r="AM13" i="9"/>
  <c r="AO13" i="9"/>
  <c r="AP13" i="9"/>
  <c r="N14" i="9"/>
  <c r="T14" i="9"/>
  <c r="AE14" i="9"/>
  <c r="AF14" i="9"/>
  <c r="AG14" i="9"/>
  <c r="AJ14" i="9"/>
  <c r="AK14" i="9"/>
  <c r="AL14" i="9"/>
  <c r="AM14" i="9"/>
  <c r="AO14" i="9"/>
  <c r="AP14" i="9"/>
  <c r="N15" i="9"/>
  <c r="T15" i="9"/>
  <c r="AE15" i="9"/>
  <c r="AF15" i="9"/>
  <c r="AG15" i="9"/>
  <c r="AJ15" i="9"/>
  <c r="AK15" i="9"/>
  <c r="AL15" i="9"/>
  <c r="AM15" i="9"/>
  <c r="AO15" i="9"/>
  <c r="AP15" i="9"/>
  <c r="N16" i="9"/>
  <c r="T16" i="9"/>
  <c r="AE16" i="9"/>
  <c r="AF16" i="9"/>
  <c r="AG16" i="9"/>
  <c r="AJ16" i="9"/>
  <c r="AK16" i="9"/>
  <c r="AL16" i="9"/>
  <c r="AM16" i="9"/>
  <c r="AO16" i="9"/>
  <c r="AP16" i="9"/>
  <c r="N17" i="9"/>
  <c r="T17" i="9"/>
  <c r="AE17" i="9"/>
  <c r="AF17" i="9"/>
  <c r="AG17" i="9"/>
  <c r="AJ17" i="9"/>
  <c r="AK17" i="9"/>
  <c r="AL17" i="9"/>
  <c r="AM17" i="9"/>
  <c r="AO17" i="9"/>
  <c r="AP17" i="9"/>
  <c r="N18" i="9"/>
  <c r="T18" i="9"/>
  <c r="AE18" i="9"/>
  <c r="AF18" i="9"/>
  <c r="AG18" i="9"/>
  <c r="AJ18" i="9"/>
  <c r="AK18" i="9"/>
  <c r="AL18" i="9"/>
  <c r="AM18" i="9"/>
  <c r="AO18" i="9"/>
  <c r="AP18" i="9"/>
  <c r="N19" i="9"/>
  <c r="T19" i="9"/>
  <c r="AE19" i="9"/>
  <c r="AF19" i="9"/>
  <c r="AG19" i="9"/>
  <c r="AJ19" i="9"/>
  <c r="AK19" i="9"/>
  <c r="AL19" i="9"/>
  <c r="AM19" i="9"/>
  <c r="AO19" i="9"/>
  <c r="AP19" i="9"/>
  <c r="N20" i="9"/>
  <c r="T20" i="9"/>
  <c r="AE20" i="9"/>
  <c r="AF20" i="9"/>
  <c r="AG20" i="9"/>
  <c r="AJ20" i="9"/>
  <c r="AK20" i="9"/>
  <c r="AL20" i="9"/>
  <c r="AM20" i="9"/>
  <c r="AO20" i="9"/>
  <c r="AP20" i="9"/>
  <c r="N21" i="9"/>
  <c r="T21" i="9"/>
  <c r="AE21" i="9"/>
  <c r="AF21" i="9"/>
  <c r="AG21" i="9"/>
  <c r="AJ21" i="9"/>
  <c r="AK21" i="9"/>
  <c r="AL21" i="9"/>
  <c r="AM21" i="9"/>
  <c r="AO21" i="9"/>
  <c r="AP21" i="9"/>
  <c r="N22" i="9"/>
  <c r="T22" i="9"/>
  <c r="AE22" i="9"/>
  <c r="AF22" i="9"/>
  <c r="AG22" i="9"/>
  <c r="AJ22" i="9"/>
  <c r="AK22" i="9"/>
  <c r="AL22" i="9"/>
  <c r="AM22" i="9"/>
  <c r="AO22" i="9"/>
  <c r="AP22" i="9"/>
  <c r="N23" i="9"/>
  <c r="T23" i="9"/>
  <c r="AE23" i="9"/>
  <c r="AF23" i="9"/>
  <c r="AG23" i="9"/>
  <c r="AJ23" i="9"/>
  <c r="AK23" i="9"/>
  <c r="AL23" i="9"/>
  <c r="AM23" i="9"/>
  <c r="AO23" i="9"/>
  <c r="AP23" i="9"/>
  <c r="N24" i="9"/>
  <c r="T24" i="9"/>
  <c r="AE24" i="9"/>
  <c r="AF24" i="9"/>
  <c r="AG24" i="9"/>
  <c r="AJ24" i="9"/>
  <c r="AK24" i="9"/>
  <c r="AL24" i="9"/>
  <c r="AM24" i="9"/>
  <c r="AO24" i="9"/>
  <c r="AP24" i="9"/>
  <c r="N25" i="9"/>
  <c r="T25" i="9"/>
  <c r="AE25" i="9"/>
  <c r="AF25" i="9"/>
  <c r="AG25" i="9"/>
  <c r="AJ25" i="9"/>
  <c r="AK25" i="9"/>
  <c r="AL25" i="9"/>
  <c r="AM25" i="9"/>
  <c r="AO25" i="9"/>
  <c r="AP25" i="9"/>
  <c r="N26" i="9"/>
  <c r="T26" i="9"/>
  <c r="AE26" i="9"/>
  <c r="AF26" i="9"/>
  <c r="AG26" i="9"/>
  <c r="AJ26" i="9"/>
  <c r="AK26" i="9"/>
  <c r="AL26" i="9"/>
  <c r="AM26" i="9"/>
  <c r="AO26" i="9"/>
  <c r="AP26" i="9"/>
  <c r="N27" i="9"/>
  <c r="T27" i="9"/>
  <c r="AE27" i="9"/>
  <c r="AF27" i="9"/>
  <c r="AG27" i="9"/>
  <c r="AJ27" i="9"/>
  <c r="AK27" i="9"/>
  <c r="AL27" i="9"/>
  <c r="AM27" i="9"/>
  <c r="AO27" i="9"/>
  <c r="AP27" i="9"/>
  <c r="N28" i="9"/>
  <c r="T28" i="9"/>
  <c r="AE28" i="9"/>
  <c r="AF28" i="9"/>
  <c r="AG28" i="9"/>
  <c r="AJ28" i="9"/>
  <c r="AK28" i="9"/>
  <c r="AL28" i="9"/>
  <c r="AM28" i="9"/>
  <c r="AO28" i="9"/>
  <c r="AP28" i="9"/>
  <c r="N29" i="9"/>
  <c r="T29" i="9"/>
  <c r="AE29" i="9"/>
  <c r="AF29" i="9"/>
  <c r="AG29" i="9"/>
  <c r="AJ29" i="9"/>
  <c r="AK29" i="9"/>
  <c r="AL29" i="9"/>
  <c r="AM29" i="9"/>
  <c r="AO29" i="9"/>
  <c r="AP29" i="9"/>
  <c r="N30" i="9"/>
  <c r="T30" i="9"/>
  <c r="AE30" i="9"/>
  <c r="AF30" i="9"/>
  <c r="AG30" i="9"/>
  <c r="AJ30" i="9"/>
  <c r="AK30" i="9"/>
  <c r="AL30" i="9"/>
  <c r="AM30" i="9"/>
  <c r="AO30" i="9"/>
  <c r="AP30" i="9"/>
  <c r="N31" i="9"/>
  <c r="T31" i="9"/>
  <c r="AE31" i="9"/>
  <c r="AF31" i="9"/>
  <c r="AG31" i="9"/>
  <c r="AJ31" i="9"/>
  <c r="AK31" i="9"/>
  <c r="AL31" i="9"/>
  <c r="AM31" i="9"/>
  <c r="AO31" i="9"/>
  <c r="AP31" i="9"/>
  <c r="N32" i="9"/>
  <c r="T32" i="9"/>
  <c r="AE32" i="9"/>
  <c r="AF32" i="9"/>
  <c r="AG32" i="9"/>
  <c r="AJ32" i="9"/>
  <c r="AK32" i="9"/>
  <c r="AL32" i="9"/>
  <c r="AM32" i="9"/>
  <c r="AO32" i="9"/>
  <c r="AP32" i="9"/>
  <c r="N33" i="9"/>
  <c r="T33" i="9"/>
  <c r="AE33" i="9"/>
  <c r="AF33" i="9"/>
  <c r="AG33" i="9"/>
  <c r="AJ33" i="9"/>
  <c r="AK33" i="9"/>
  <c r="AL33" i="9"/>
  <c r="AM33" i="9"/>
  <c r="AO33" i="9"/>
  <c r="AP33" i="9"/>
  <c r="N34" i="9"/>
  <c r="T34" i="9"/>
  <c r="AE34" i="9"/>
  <c r="AF34" i="9"/>
  <c r="AG34" i="9"/>
  <c r="AJ34" i="9"/>
  <c r="AK34" i="9"/>
  <c r="AL34" i="9"/>
  <c r="AM34" i="9"/>
  <c r="AO34" i="9"/>
  <c r="AP34" i="9"/>
  <c r="N35" i="9"/>
  <c r="T35" i="9"/>
  <c r="AE35" i="9"/>
  <c r="AF35" i="9"/>
  <c r="AG35" i="9"/>
  <c r="AJ35" i="9"/>
  <c r="AK35" i="9"/>
  <c r="AL35" i="9"/>
  <c r="AM35" i="9"/>
  <c r="AO35" i="9"/>
  <c r="AP35" i="9"/>
  <c r="N36" i="9"/>
  <c r="T36" i="9"/>
  <c r="AE36" i="9"/>
  <c r="AF36" i="9"/>
  <c r="AG36" i="9"/>
  <c r="AJ36" i="9"/>
  <c r="AK36" i="9"/>
  <c r="AL36" i="9"/>
  <c r="AM36" i="9"/>
  <c r="AO36" i="9"/>
  <c r="AP36" i="9"/>
  <c r="N37" i="9"/>
  <c r="T37" i="9"/>
  <c r="AE37" i="9"/>
  <c r="AF37" i="9"/>
  <c r="AG37" i="9"/>
  <c r="AJ37" i="9"/>
  <c r="AK37" i="9"/>
  <c r="AL37" i="9"/>
  <c r="AM37" i="9"/>
  <c r="AO37" i="9"/>
  <c r="AP37" i="9"/>
  <c r="N38" i="9"/>
  <c r="T38" i="9"/>
  <c r="AE38" i="9"/>
  <c r="AF38" i="9"/>
  <c r="AG38" i="9"/>
  <c r="AJ38" i="9"/>
  <c r="AK38" i="9"/>
  <c r="AL38" i="9"/>
  <c r="AM38" i="9"/>
  <c r="AO38" i="9"/>
  <c r="AP38" i="9"/>
  <c r="N39" i="9"/>
  <c r="T39" i="9"/>
  <c r="AE39" i="9"/>
  <c r="AF39" i="9"/>
  <c r="AG39" i="9"/>
  <c r="AJ39" i="9"/>
  <c r="AK39" i="9"/>
  <c r="AL39" i="9"/>
  <c r="AM39" i="9"/>
  <c r="AO39" i="9"/>
  <c r="AP39" i="9"/>
  <c r="N40" i="9"/>
  <c r="T40" i="9"/>
  <c r="AE40" i="9"/>
  <c r="AF40" i="9"/>
  <c r="AG40" i="9"/>
  <c r="AJ40" i="9"/>
  <c r="AK40" i="9"/>
  <c r="AL40" i="9"/>
  <c r="AM40" i="9"/>
  <c r="AO40" i="9"/>
  <c r="AP40" i="9"/>
  <c r="N41" i="9"/>
  <c r="T41" i="9"/>
  <c r="AE41" i="9"/>
  <c r="AF41" i="9"/>
  <c r="AG41" i="9"/>
  <c r="AJ41" i="9"/>
  <c r="AK41" i="9"/>
  <c r="AL41" i="9"/>
  <c r="AM41" i="9"/>
  <c r="AO41" i="9"/>
  <c r="AP41" i="9"/>
  <c r="N42" i="9"/>
  <c r="T42" i="9"/>
  <c r="AE42" i="9"/>
  <c r="AF42" i="9"/>
  <c r="AG42" i="9"/>
  <c r="AJ42" i="9"/>
  <c r="AK42" i="9"/>
  <c r="AL42" i="9"/>
  <c r="AM42" i="9"/>
  <c r="AO42" i="9"/>
  <c r="AP42" i="9"/>
  <c r="N43" i="9"/>
  <c r="T43" i="9"/>
  <c r="AE43" i="9"/>
  <c r="AF43" i="9"/>
  <c r="AG43" i="9"/>
  <c r="AJ43" i="9"/>
  <c r="AK43" i="9"/>
  <c r="AL43" i="9"/>
  <c r="AM43" i="9"/>
  <c r="AO43" i="9"/>
  <c r="AP43" i="9"/>
  <c r="N44" i="9"/>
  <c r="T44" i="9"/>
  <c r="AE44" i="9"/>
  <c r="AF44" i="9"/>
  <c r="AG44" i="9"/>
  <c r="AJ44" i="9"/>
  <c r="AK44" i="9"/>
  <c r="AL44" i="9"/>
  <c r="AM44" i="9"/>
  <c r="AO44" i="9"/>
  <c r="AP44" i="9"/>
  <c r="N45" i="9"/>
  <c r="T45" i="9"/>
  <c r="AE45" i="9"/>
  <c r="AF45" i="9"/>
  <c r="AG45" i="9"/>
  <c r="AJ45" i="9"/>
  <c r="AK45" i="9"/>
  <c r="AL45" i="9"/>
  <c r="AM45" i="9"/>
  <c r="AO45" i="9"/>
  <c r="AP45" i="9"/>
  <c r="N46" i="9"/>
  <c r="T46" i="9"/>
  <c r="AE46" i="9"/>
  <c r="AF46" i="9"/>
  <c r="AG46" i="9"/>
  <c r="AJ46" i="9"/>
  <c r="AK46" i="9"/>
  <c r="AL46" i="9"/>
  <c r="AM46" i="9"/>
  <c r="AO46" i="9"/>
  <c r="AP46" i="9"/>
  <c r="N47" i="9"/>
  <c r="T47" i="9"/>
  <c r="AE47" i="9"/>
  <c r="AF47" i="9"/>
  <c r="AG47" i="9"/>
  <c r="AJ47" i="9"/>
  <c r="AK47" i="9"/>
  <c r="AL47" i="9"/>
  <c r="AM47" i="9"/>
  <c r="AO47" i="9"/>
  <c r="AP47" i="9"/>
  <c r="N48" i="9"/>
  <c r="T48" i="9"/>
  <c r="AE48" i="9"/>
  <c r="AF48" i="9"/>
  <c r="AG48" i="9"/>
  <c r="AJ48" i="9"/>
  <c r="AK48" i="9"/>
  <c r="AL48" i="9"/>
  <c r="AM48" i="9"/>
  <c r="AO48" i="9"/>
  <c r="AP48" i="9"/>
  <c r="N49" i="9"/>
  <c r="T49" i="9"/>
  <c r="AE49" i="9"/>
  <c r="AF49" i="9"/>
  <c r="AG49" i="9"/>
  <c r="AJ49" i="9"/>
  <c r="AK49" i="9"/>
  <c r="AL49" i="9"/>
  <c r="AM49" i="9"/>
  <c r="AO49" i="9"/>
  <c r="AP49" i="9"/>
  <c r="N50" i="9"/>
  <c r="T50" i="9"/>
  <c r="AE50" i="9"/>
  <c r="AF50" i="9"/>
  <c r="AG50" i="9"/>
  <c r="AJ50" i="9"/>
  <c r="AK50" i="9"/>
  <c r="AL50" i="9"/>
  <c r="AM50" i="9"/>
  <c r="AO50" i="9"/>
  <c r="AP50" i="9"/>
  <c r="N51" i="9"/>
  <c r="T51" i="9"/>
  <c r="AE51" i="9"/>
  <c r="AF51" i="9"/>
  <c r="AG51" i="9"/>
  <c r="AJ51" i="9"/>
  <c r="AK51" i="9"/>
  <c r="AL51" i="9"/>
  <c r="AM51" i="9"/>
  <c r="AO51" i="9"/>
  <c r="AP51" i="9"/>
  <c r="N53" i="9"/>
  <c r="T53" i="9"/>
  <c r="AE53" i="9"/>
  <c r="AF53" i="9"/>
  <c r="AG53" i="9"/>
  <c r="AJ53" i="9"/>
  <c r="AK53" i="9"/>
  <c r="AL53" i="9"/>
  <c r="AM53" i="9"/>
  <c r="AO53" i="9"/>
  <c r="AP53" i="9"/>
  <c r="AO55" i="9"/>
  <c r="AP5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Kuhn Yatsu</author>
  </authors>
  <commentList>
    <comment ref="C33" authorId="0" shapeId="0" xr:uid="{D08C74B8-6024-4489-8374-5274F900145D}">
      <text>
        <r>
          <rPr>
            <sz val="9"/>
            <color indexed="81"/>
            <rFont val="Segoe UI"/>
            <family val="2"/>
          </rPr>
          <t>Econômico: CDE Covid TE; Financeiro: CDE Energia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338EE4-7696-4CF5-843C-560ED2E974BF}" name="Conexão" type="7" refreshedVersion="8" background="1" saveData="1"/>
  <connection id="2" xr16:uid="{FD80DECE-F342-4624-A8EB-51473A43230E}" name="Conexão1" type="7" refreshedVersion="8" background="1" saveData="1"/>
  <connection id="3" xr16:uid="{ACE12B8F-B90A-4A7B-8A5E-B4AAF41A9198}" name="Conexão2" type="7" refreshedVersion="8" background="1" saveData="1"/>
</connections>
</file>

<file path=xl/sharedStrings.xml><?xml version="1.0" encoding="utf-8"?>
<sst xmlns="http://schemas.openxmlformats.org/spreadsheetml/2006/main" count="12541" uniqueCount="946">
  <si>
    <t>TipoMercado</t>
  </si>
  <si>
    <t>Subgrupo</t>
  </si>
  <si>
    <t>Modalidade</t>
  </si>
  <si>
    <t>Classe</t>
  </si>
  <si>
    <t>Subclasse</t>
  </si>
  <si>
    <t>Detalhe</t>
  </si>
  <si>
    <t>Agente</t>
  </si>
  <si>
    <t>Posto</t>
  </si>
  <si>
    <t>AnoMes</t>
  </si>
  <si>
    <t>D</t>
  </si>
  <si>
    <t>Daj</t>
  </si>
  <si>
    <t>TUSD_E</t>
  </si>
  <si>
    <t>TUSD_Eaj</t>
  </si>
  <si>
    <t>TE_E</t>
  </si>
  <si>
    <t>TE_Eaj</t>
  </si>
  <si>
    <t>UC</t>
  </si>
  <si>
    <t>OPÇÃO</t>
  </si>
  <si>
    <t>CóD. AUX.</t>
  </si>
  <si>
    <t>CóD. AUX. TUSD R$/kW</t>
  </si>
  <si>
    <t>CóD. AUX. TUSD R$/MWh</t>
  </si>
  <si>
    <t>CóD. AUX. TE R$/MWh</t>
  </si>
  <si>
    <t>Regular</t>
  </si>
  <si>
    <t>B1</t>
  </si>
  <si>
    <t>Convencional</t>
  </si>
  <si>
    <t>Residencial</t>
  </si>
  <si>
    <t>Não se aplica</t>
  </si>
  <si>
    <t>CATIVO</t>
  </si>
  <si>
    <t>Sistema de Compensação</t>
  </si>
  <si>
    <t>B3</t>
  </si>
  <si>
    <t>Industrial</t>
  </si>
  <si>
    <t>Comercial</t>
  </si>
  <si>
    <t>B2</t>
  </si>
  <si>
    <t>Rural</t>
  </si>
  <si>
    <t>Poder público</t>
  </si>
  <si>
    <t>B4</t>
  </si>
  <si>
    <t>Iluminação pública</t>
  </si>
  <si>
    <t>Iluminação pública – B4a</t>
  </si>
  <si>
    <t>Serviço público</t>
  </si>
  <si>
    <t>Água, esgoto e saneamento</t>
  </si>
  <si>
    <t>Residencial baixa renda – faixa 03</t>
  </si>
  <si>
    <t>Residencial baixa renda – faixa 04</t>
  </si>
  <si>
    <t>Residencial baixa renda – faixa 01</t>
  </si>
  <si>
    <t>Residencial baixa renda – faixa 02</t>
  </si>
  <si>
    <t>TIPO ALERTA</t>
  </si>
  <si>
    <t>DETALHE ALERTA</t>
  </si>
  <si>
    <t>ABA</t>
  </si>
  <si>
    <t>LINHA</t>
  </si>
  <si>
    <t>COLUNA</t>
  </si>
  <si>
    <t>VARIÁVEL AUXILIAR</t>
  </si>
  <si>
    <t>SUBGRUPO</t>
  </si>
  <si>
    <t>MODALIDADE</t>
  </si>
  <si>
    <t>CLASSE</t>
  </si>
  <si>
    <t>SUBCLASSE</t>
  </si>
  <si>
    <t>DETALHE</t>
  </si>
  <si>
    <t>NOME UC</t>
  </si>
  <si>
    <t>POSTO</t>
  </si>
  <si>
    <t>UNIDADE</t>
  </si>
  <si>
    <t>SOMA MERCADO</t>
  </si>
  <si>
    <t>A4</t>
  </si>
  <si>
    <t>Energia horária</t>
  </si>
  <si>
    <t>MWh</t>
  </si>
  <si>
    <t>EP</t>
  </si>
  <si>
    <t>EFP</t>
  </si>
  <si>
    <t>Azul</t>
  </si>
  <si>
    <t>kW</t>
  </si>
  <si>
    <t>DP</t>
  </si>
  <si>
    <t>DFP</t>
  </si>
  <si>
    <t>E</t>
  </si>
  <si>
    <t>APE</t>
  </si>
  <si>
    <t>Geração</t>
  </si>
  <si>
    <t>Verde</t>
  </si>
  <si>
    <t>B</t>
  </si>
  <si>
    <t>TIPO 01</t>
  </si>
  <si>
    <t>TIPO 02</t>
  </si>
  <si>
    <t>EINT</t>
  </si>
  <si>
    <t>Energia convencional</t>
  </si>
  <si>
    <t>Branca</t>
  </si>
  <si>
    <t>Energia convencional pré-pagamento</t>
  </si>
  <si>
    <t>Convencional pré-pagamento</t>
  </si>
  <si>
    <t>Cooperativa de eletrificação rural</t>
  </si>
  <si>
    <t>Serviço público de irrigação rural</t>
  </si>
  <si>
    <t>Iluminação pública – B4b</t>
  </si>
  <si>
    <t>CHAVE TUSD</t>
  </si>
  <si>
    <t>44501B1ConvencionalResidencialResidencialNão se aplicaNão se aplicaNão se aplica</t>
  </si>
  <si>
    <t>44531B1ConvencionalResidencialResidencialNão se aplicaNão se aplicaNão se aplica</t>
  </si>
  <si>
    <t>44562B1ConvencionalResidencialResidencialNão se aplicaNão se aplicaNão se aplica</t>
  </si>
  <si>
    <t>44593B1ConvencionalResidencialResidencialNão se aplicaNão se aplicaNão se aplica</t>
  </si>
  <si>
    <t>44621B1ConvencionalResidencialResidencialNão se aplicaNão se aplicaNão se aplica</t>
  </si>
  <si>
    <t>44652B1ConvencionalResidencialResidencialNão se aplicaNão se aplicaNão se aplica</t>
  </si>
  <si>
    <t>44682B1ConvencionalResidencialResidencialNão se aplicaNão se aplicaNão se aplica</t>
  </si>
  <si>
    <t>44713B1ConvencionalResidencialResidencialNão se aplicaNão se aplicaNão se aplica</t>
  </si>
  <si>
    <t>44743B1ConvencionalResidencialResidencialNão se aplicaNão se aplicaNão se aplica</t>
  </si>
  <si>
    <t>44774B1ConvencionalResidencialResidencialNão se aplicaNão se aplicaNão se aplica</t>
  </si>
  <si>
    <t>44805B1ConvencionalResidencialResidencialNão se aplicaNão se aplicaNão se aplica</t>
  </si>
  <si>
    <t>44835B1ConvencionalResidencialResidencialNão se aplicaNão se aplicaNão se aplica</t>
  </si>
  <si>
    <t>44562B1ConvencionalResidencialResidencial baixa renda – faixa 01Não se aplicaNão se aplicaNão se aplica</t>
  </si>
  <si>
    <t>44593B1ConvencionalResidencialResidencial baixa renda – faixa 01Não se aplicaNão se aplicaNão se aplica</t>
  </si>
  <si>
    <t>44621B1ConvencionalResidencialResidencial baixa renda – faixa 01Não se aplicaNão se aplicaNão se aplica</t>
  </si>
  <si>
    <t>44652B1ConvencionalResidencialResidencial baixa renda – faixa 01Não se aplicaNão se aplicaNão se aplica</t>
  </si>
  <si>
    <t>44682B1ConvencionalResidencialResidencial baixa renda – faixa 01Não se aplicaNão se aplicaNão se aplica</t>
  </si>
  <si>
    <t>44713B1ConvencionalResidencialResidencial baixa renda – faixa 01Não se aplicaNão se aplicaNão se aplica</t>
  </si>
  <si>
    <t>44743B1ConvencionalResidencialResidencial baixa renda – faixa 01Não se aplicaNão se aplicaNão se aplica</t>
  </si>
  <si>
    <t>44774B1ConvencionalResidencialResidencial baixa renda – faixa 01Não se aplicaNão se aplicaNão se aplica</t>
  </si>
  <si>
    <t>44805B1ConvencionalResidencialResidencial baixa renda – faixa 01Não se aplicaNão se aplicaNão se aplica</t>
  </si>
  <si>
    <t>44835B1ConvencionalResidencialResidencial baixa renda – faixa 01Não se aplicaNão se aplicaNão se aplica</t>
  </si>
  <si>
    <t>44593B1ConvencionalResidencialResidencial baixa renda – faixa 02Não se aplicaNão se aplicaNão se aplica</t>
  </si>
  <si>
    <t>44621B1ConvencionalResidencialResidencial baixa renda – faixa 02Não se aplicaNão se aplicaNão se aplica</t>
  </si>
  <si>
    <t>44652B1ConvencionalResidencialResidencial baixa renda – faixa 02Não se aplicaNão se aplicaNão se aplica</t>
  </si>
  <si>
    <t>44682B1ConvencionalResidencialResidencial baixa renda – faixa 02Não se aplicaNão se aplicaNão se aplica</t>
  </si>
  <si>
    <t>44713B1ConvencionalResidencialResidencial baixa renda – faixa 02Não se aplicaNão se aplicaNão se aplica</t>
  </si>
  <si>
    <t>44743B1ConvencionalResidencialResidencial baixa renda – faixa 02Não se aplicaNão se aplicaNão se aplica</t>
  </si>
  <si>
    <t>44774B1ConvencionalResidencialResidencial baixa renda – faixa 02Não se aplicaNão se aplicaNão se aplica</t>
  </si>
  <si>
    <t>44805B1ConvencionalResidencialResidencial baixa renda – faixa 02Não se aplicaNão se aplicaNão se aplica</t>
  </si>
  <si>
    <t>44835B1ConvencionalResidencialResidencial baixa renda – faixa 02Não se aplicaNão se aplicaNão se aplica</t>
  </si>
  <si>
    <t>44531B1ConvencionalResidencialResidencial baixa renda – faixa 03Não se aplicaNão se aplicaNão se aplica</t>
  </si>
  <si>
    <t>44562B1ConvencionalResidencialResidencial baixa renda – faixa 03Não se aplicaNão se aplicaNão se aplica</t>
  </si>
  <si>
    <t>44593B1ConvencionalResidencialResidencial baixa renda – faixa 03Não se aplicaNão se aplicaNão se aplica</t>
  </si>
  <si>
    <t>44621B1ConvencionalResidencialResidencial baixa renda – faixa 03Não se aplicaNão se aplicaNão se aplica</t>
  </si>
  <si>
    <t>44652B1ConvencionalResidencialResidencial baixa renda – faixa 03Não se aplicaNão se aplicaNão se aplica</t>
  </si>
  <si>
    <t>44682B1ConvencionalResidencialResidencial baixa renda – faixa 03Não se aplicaNão se aplicaNão se aplica</t>
  </si>
  <si>
    <t>44713B1ConvencionalResidencialResidencial baixa renda – faixa 03Não se aplicaNão se aplicaNão se aplica</t>
  </si>
  <si>
    <t>44743B1ConvencionalResidencialResidencial baixa renda – faixa 03Não se aplicaNão se aplicaNão se aplica</t>
  </si>
  <si>
    <t>44774B1ConvencionalResidencialResidencial baixa renda – faixa 03Não se aplicaNão se aplicaNão se aplica</t>
  </si>
  <si>
    <t>44805B1ConvencionalResidencialResidencial baixa renda – faixa 03Não se aplicaNão se aplicaNão se aplica</t>
  </si>
  <si>
    <t>44835B1ConvencionalResidencialResidencial baixa renda – faixa 03Não se aplicaNão se aplicaNão se aplica</t>
  </si>
  <si>
    <t>44531B1ConvencionalResidencialResidencial baixa renda – faixa 04Não se aplicaNão se aplicaNão se aplica</t>
  </si>
  <si>
    <t>44562B1ConvencionalResidencialResidencial baixa renda – faixa 04Não se aplicaNão se aplicaNão se aplica</t>
  </si>
  <si>
    <t>44593B1ConvencionalResidencialResidencial baixa renda – faixa 04Não se aplicaNão se aplicaNão se aplica</t>
  </si>
  <si>
    <t>44621B1ConvencionalResidencialResidencial baixa renda – faixa 04Não se aplicaNão se aplicaNão se aplica</t>
  </si>
  <si>
    <t>44652B1ConvencionalResidencialResidencial baixa renda – faixa 04Não se aplicaNão se aplicaNão se aplica</t>
  </si>
  <si>
    <t>44682B1ConvencionalResidencialResidencial baixa renda – faixa 04Não se aplicaNão se aplicaNão se aplica</t>
  </si>
  <si>
    <t>44713B1ConvencionalResidencialResidencial baixa renda – faixa 04Não se aplicaNão se aplicaNão se aplica</t>
  </si>
  <si>
    <t>44743B1ConvencionalResidencialResidencial baixa renda – faixa 04Não se aplicaNão se aplicaNão se aplica</t>
  </si>
  <si>
    <t>44774B1ConvencionalResidencialResidencial baixa renda – faixa 04Não se aplicaNão se aplicaNão se aplica</t>
  </si>
  <si>
    <t>44805B1ConvencionalResidencialResidencial baixa renda – faixa 04Não se aplicaNão se aplicaNão se aplica</t>
  </si>
  <si>
    <t>44835B1ConvencionalResidencialResidencial baixa renda – faixa 04Não se aplicaNão se aplicaNão se aplica</t>
  </si>
  <si>
    <t>44501B2ConvencionalRuralNão se aplicaNão se aplicaNão se aplicaNão se aplica</t>
  </si>
  <si>
    <t>44531B2ConvencionalRuralNão se aplicaNão se aplicaNão se aplicaNão se aplica</t>
  </si>
  <si>
    <t>44562B2ConvencionalRuralNão se aplicaNão se aplicaNão se aplicaNão se aplica</t>
  </si>
  <si>
    <t>44593B2ConvencionalRuralNão se aplicaNão se aplicaNão se aplicaNão se aplica</t>
  </si>
  <si>
    <t>44621B2ConvencionalRuralNão se aplicaNão se aplicaNão se aplicaNão se aplica</t>
  </si>
  <si>
    <t>44652B2ConvencionalRuralNão se aplicaNão se aplicaNão se aplicaNão se aplica</t>
  </si>
  <si>
    <t>44682B2ConvencionalRuralNão se aplicaNão se aplicaNão se aplicaNão se aplica</t>
  </si>
  <si>
    <t>44713B2ConvencionalRuralNão se aplicaNão se aplicaNão se aplicaNão se aplica</t>
  </si>
  <si>
    <t>44743B2ConvencionalRuralNão se aplicaNão se aplicaNão se aplicaNão se aplica</t>
  </si>
  <si>
    <t>44774B2ConvencionalRuralNão se aplicaNão se aplicaNão se aplicaNão se aplica</t>
  </si>
  <si>
    <t>44805B2ConvencionalRuralNão se aplicaNão se aplicaNão se aplicaNão se aplica</t>
  </si>
  <si>
    <t>44835B2ConvencionalRuralNão se aplicaNão se aplicaNão se aplicaNão se aplica</t>
  </si>
  <si>
    <t>44501B3ConvencionalNão se aplicaNão se aplicaNão se aplicaNão se aplicaNão se aplica</t>
  </si>
  <si>
    <t>44531B3ConvencionalNão se aplicaNão se aplicaNão se aplicaNão se aplicaNão se aplica</t>
  </si>
  <si>
    <t>44562B3ConvencionalNão se aplicaNão se aplicaNão se aplicaNão se aplicaNão se aplica</t>
  </si>
  <si>
    <t>44593B3ConvencionalNão se aplicaNão se aplicaNão se aplicaNão se aplicaNão se aplica</t>
  </si>
  <si>
    <t>44621B3ConvencionalNão se aplicaNão se aplicaNão se aplicaNão se aplicaNão se aplica</t>
  </si>
  <si>
    <t>44652B3ConvencionalNão se aplicaNão se aplicaNão se aplicaNão se aplicaNão se aplica</t>
  </si>
  <si>
    <t>44682B3ConvencionalNão se aplicaNão se aplicaNão se aplicaNão se aplicaNão se aplica</t>
  </si>
  <si>
    <t>44713B3ConvencionalNão se aplicaNão se aplicaNão se aplicaNão se aplicaNão se aplica</t>
  </si>
  <si>
    <t>44743B3ConvencionalNão se aplicaNão se aplicaNão se aplicaNão se aplicaNão se aplica</t>
  </si>
  <si>
    <t>44774B3ConvencionalNão se aplicaNão se aplicaNão se aplicaNão se aplicaNão se aplica</t>
  </si>
  <si>
    <t>44805B3ConvencionalNão se aplicaNão se aplicaNão se aplicaNão se aplicaNão se aplica</t>
  </si>
  <si>
    <t>44835B3ConvencionalNão se aplicaNão se aplicaNão se aplicaNão se aplicaNão se aplica</t>
  </si>
  <si>
    <t>44501B4ConvencionalIluminação públicaIluminação pública – B4aNão se aplicaNão se aplicaNão se aplica</t>
  </si>
  <si>
    <t>44531B4ConvencionalIluminação públicaIluminação pública – B4aNão se aplicaNão se aplicaNão se aplica</t>
  </si>
  <si>
    <t>44562B4ConvencionalIluminação públicaIluminação pública – B4aNão se aplicaNão se aplicaNão se aplica</t>
  </si>
  <si>
    <t>44593B4ConvencionalIluminação públicaIluminação pública – B4aNão se aplicaNão se aplicaNão se aplica</t>
  </si>
  <si>
    <t>44621B4ConvencionalIluminação públicaIluminação pública – B4aNão se aplicaNão se aplicaNão se aplica</t>
  </si>
  <si>
    <t>44652B4ConvencionalIluminação públicaIluminação pública – B4aNão se aplicaNão se aplicaNão se aplica</t>
  </si>
  <si>
    <t>44682B4ConvencionalIluminação públicaIluminação pública – B4aNão se aplicaNão se aplicaNão se aplica</t>
  </si>
  <si>
    <t>44713B4ConvencionalIluminação públicaIluminação pública – B4aNão se aplicaNão se aplicaNão se aplica</t>
  </si>
  <si>
    <t>44743B4ConvencionalIluminação públicaIluminação pública – B4aNão se aplicaNão se aplicaNão se aplica</t>
  </si>
  <si>
    <t>44774B4ConvencionalIluminação públicaIluminação pública – B4aNão se aplicaNão se aplicaNão se aplica</t>
  </si>
  <si>
    <t>44805B4ConvencionalIluminação públicaIluminação pública – B4aNão se aplicaNão se aplicaNão se aplica</t>
  </si>
  <si>
    <t>44835B4ConvencionalIluminação públicaIluminação pública – B4aNão se aplicaNão se aplicaNão se aplica</t>
  </si>
  <si>
    <t>CHAVE TE</t>
  </si>
  <si>
    <t>44501B1Energia convencionalResidencialResidencialNão se aplicaNão se aplicaNão se aplica</t>
  </si>
  <si>
    <t>44531B1Energia convencionalResidencialResidencialNão se aplicaNão se aplicaNão se aplica</t>
  </si>
  <si>
    <t>44562B1Energia convencionalResidencialResidencialNão se aplicaNão se aplicaNão se aplica</t>
  </si>
  <si>
    <t>44593B1Energia convencionalResidencialResidencialNão se aplicaNão se aplicaNão se aplica</t>
  </si>
  <si>
    <t>44621B1Energia convencionalResidencialResidencialNão se aplicaNão se aplicaNão se aplica</t>
  </si>
  <si>
    <t>44652B1Energia convencionalResidencialResidencialNão se aplicaNão se aplicaNão se aplica</t>
  </si>
  <si>
    <t>44682B1Energia convencionalResidencialResidencialNão se aplicaNão se aplicaNão se aplica</t>
  </si>
  <si>
    <t>44713B1Energia convencionalResidencialResidencialNão se aplicaNão se aplicaNão se aplica</t>
  </si>
  <si>
    <t>44743B1Energia convencionalResidencialResidencialNão se aplicaNão se aplicaNão se aplica</t>
  </si>
  <si>
    <t>44774B1Energia convencionalResidencialResidencialNão se aplicaNão se aplicaNão se aplica</t>
  </si>
  <si>
    <t>44805B1Energia convencionalResidencialResidencialNão se aplicaNão se aplicaNão se aplica</t>
  </si>
  <si>
    <t>44835B1Energia convencionalResidencialResidencialNão se aplicaNão se aplicaNão se aplica</t>
  </si>
  <si>
    <t>44562B1Energia convencionalResidencialResidencial baixa renda – faixa 01Não se aplicaNão se aplicaNão se aplica</t>
  </si>
  <si>
    <t>44593B1Energia convencionalResidencialResidencial baixa renda – faixa 01Não se aplicaNão se aplicaNão se aplica</t>
  </si>
  <si>
    <t>44621B1Energia convencionalResidencialResidencial baixa renda – faixa 01Não se aplicaNão se aplicaNão se aplica</t>
  </si>
  <si>
    <t>44652B1Energia convencionalResidencialResidencial baixa renda – faixa 01Não se aplicaNão se aplicaNão se aplica</t>
  </si>
  <si>
    <t>44682B1Energia convencionalResidencialResidencial baixa renda – faixa 01Não se aplicaNão se aplicaNão se aplica</t>
  </si>
  <si>
    <t>44713B1Energia convencionalResidencialResidencial baixa renda – faixa 01Não se aplicaNão se aplicaNão se aplica</t>
  </si>
  <si>
    <t>44743B1Energia convencionalResidencialResidencial baixa renda – faixa 01Não se aplicaNão se aplicaNão se aplica</t>
  </si>
  <si>
    <t>44774B1Energia convencionalResidencialResidencial baixa renda – faixa 01Não se aplicaNão se aplicaNão se aplica</t>
  </si>
  <si>
    <t>44805B1Energia convencionalResidencialResidencial baixa renda – faixa 01Não se aplicaNão se aplicaNão se aplica</t>
  </si>
  <si>
    <t>44835B1Energia convencionalResidencialResidencial baixa renda – faixa 01Não se aplicaNão se aplicaNão se aplica</t>
  </si>
  <si>
    <t>44593B1Energia convencionalResidencialResidencial baixa renda – faixa 02Não se aplicaNão se aplicaNão se aplica</t>
  </si>
  <si>
    <t>44621B1Energia convencionalResidencialResidencial baixa renda – faixa 02Não se aplicaNão se aplicaNão se aplica</t>
  </si>
  <si>
    <t>44652B1Energia convencionalResidencialResidencial baixa renda – faixa 02Não se aplicaNão se aplicaNão se aplica</t>
  </si>
  <si>
    <t>44682B1Energia convencionalResidencialResidencial baixa renda – faixa 02Não se aplicaNão se aplicaNão se aplica</t>
  </si>
  <si>
    <t>44713B1Energia convencionalResidencialResidencial baixa renda – faixa 02Não se aplicaNão se aplicaNão se aplica</t>
  </si>
  <si>
    <t>44743B1Energia convencionalResidencialResidencial baixa renda – faixa 02Não se aplicaNão se aplicaNão se aplica</t>
  </si>
  <si>
    <t>44774B1Energia convencionalResidencialResidencial baixa renda – faixa 02Não se aplicaNão se aplicaNão se aplica</t>
  </si>
  <si>
    <t>44805B1Energia convencionalResidencialResidencial baixa renda – faixa 02Não se aplicaNão se aplicaNão se aplica</t>
  </si>
  <si>
    <t>44835B1Energia convencionalResidencialResidencial baixa renda – faixa 02Não se aplicaNão se aplicaNão se aplica</t>
  </si>
  <si>
    <t>44531B1Energia convencionalResidencialResidencial baixa renda – faixa 03Não se aplicaNão se aplicaNão se aplica</t>
  </si>
  <si>
    <t>44562B1Energia convencionalResidencialResidencial baixa renda – faixa 03Não se aplicaNão se aplicaNão se aplica</t>
  </si>
  <si>
    <t>44593B1Energia convencionalResidencialResidencial baixa renda – faixa 03Não se aplicaNão se aplicaNão se aplica</t>
  </si>
  <si>
    <t>44621B1Energia convencionalResidencialResidencial baixa renda – faixa 03Não se aplicaNão se aplicaNão se aplica</t>
  </si>
  <si>
    <t>44652B1Energia convencionalResidencialResidencial baixa renda – faixa 03Não se aplicaNão se aplicaNão se aplica</t>
  </si>
  <si>
    <t>44682B1Energia convencionalResidencialResidencial baixa renda – faixa 03Não se aplicaNão se aplicaNão se aplica</t>
  </si>
  <si>
    <t>44713B1Energia convencionalResidencialResidencial baixa renda – faixa 03Não se aplicaNão se aplicaNão se aplica</t>
  </si>
  <si>
    <t>44743B1Energia convencionalResidencialResidencial baixa renda – faixa 03Não se aplicaNão se aplicaNão se aplica</t>
  </si>
  <si>
    <t>44774B1Energia convencionalResidencialResidencial baixa renda – faixa 03Não se aplicaNão se aplicaNão se aplica</t>
  </si>
  <si>
    <t>44805B1Energia convencionalResidencialResidencial baixa renda – faixa 03Não se aplicaNão se aplicaNão se aplica</t>
  </si>
  <si>
    <t>44835B1Energia convencionalResidencialResidencial baixa renda – faixa 03Não se aplicaNão se aplicaNão se aplica</t>
  </si>
  <si>
    <t>44531B1Energia convencionalResidencialResidencial baixa renda – faixa 04Não se aplicaNão se aplicaNão se aplica</t>
  </si>
  <si>
    <t>44562B1Energia convencionalResidencialResidencial baixa renda – faixa 04Não se aplicaNão se aplicaNão se aplica</t>
  </si>
  <si>
    <t>44593B1Energia convencionalResidencialResidencial baixa renda – faixa 04Não se aplicaNão se aplicaNão se aplica</t>
  </si>
  <si>
    <t>44621B1Energia convencionalResidencialResidencial baixa renda – faixa 04Não se aplicaNão se aplicaNão se aplica</t>
  </si>
  <si>
    <t>44652B1Energia convencionalResidencialResidencial baixa renda – faixa 04Não se aplicaNão se aplicaNão se aplica</t>
  </si>
  <si>
    <t>44682B1Energia convencionalResidencialResidencial baixa renda – faixa 04Não se aplicaNão se aplicaNão se aplica</t>
  </si>
  <si>
    <t>44713B1Energia convencionalResidencialResidencial baixa renda – faixa 04Não se aplicaNão se aplicaNão se aplica</t>
  </si>
  <si>
    <t>44743B1Energia convencionalResidencialResidencial baixa renda – faixa 04Não se aplicaNão se aplicaNão se aplica</t>
  </si>
  <si>
    <t>44774B1Energia convencionalResidencialResidencial baixa renda – faixa 04Não se aplicaNão se aplicaNão se aplica</t>
  </si>
  <si>
    <t>44805B1Energia convencionalResidencialResidencial baixa renda – faixa 04Não se aplicaNão se aplicaNão se aplica</t>
  </si>
  <si>
    <t>44835B1Energia convencionalResidencialResidencial baixa renda – faixa 04Não se aplicaNão se aplicaNão se aplica</t>
  </si>
  <si>
    <t>44501B2Energia convencionalRuralNão se aplicaNão se aplicaNão se aplicaNão se aplica</t>
  </si>
  <si>
    <t>44531B2Energia convencionalRuralNão se aplicaNão se aplicaNão se aplicaNão se aplica</t>
  </si>
  <si>
    <t>44562B2Energia convencionalRuralNão se aplicaNão se aplicaNão se aplicaNão se aplica</t>
  </si>
  <si>
    <t>44593B2Energia convencionalRuralNão se aplicaNão se aplicaNão se aplicaNão se aplica</t>
  </si>
  <si>
    <t>44621B2Energia convencionalRuralNão se aplicaNão se aplicaNão se aplicaNão se aplica</t>
  </si>
  <si>
    <t>44652B2Energia convencionalRuralNão se aplicaNão se aplicaNão se aplicaNão se aplica</t>
  </si>
  <si>
    <t>44682B2Energia convencionalRuralNão se aplicaNão se aplicaNão se aplicaNão se aplica</t>
  </si>
  <si>
    <t>44713B2Energia convencionalRuralNão se aplicaNão se aplicaNão se aplicaNão se aplica</t>
  </si>
  <si>
    <t>44743B2Energia convencionalRuralNão se aplicaNão se aplicaNão se aplicaNão se aplica</t>
  </si>
  <si>
    <t>44774B2Energia convencionalRuralNão se aplicaNão se aplicaNão se aplicaNão se aplica</t>
  </si>
  <si>
    <t>44805B2Energia convencionalRuralNão se aplicaNão se aplicaNão se aplicaNão se aplica</t>
  </si>
  <si>
    <t>44835B2Energia convencionalRuralNão se aplicaNão se aplicaNão se aplicaNão se aplica</t>
  </si>
  <si>
    <t>44501B3Energia convencionalNão se aplicaNão se aplicaNão se aplicaNão se aplicaNão se aplica</t>
  </si>
  <si>
    <t>44531B3Energia convencionalNão se aplicaNão se aplicaNão se aplicaNão se aplicaNão se aplica</t>
  </si>
  <si>
    <t>44562B3Energia convencionalNão se aplicaNão se aplicaNão se aplicaNão se aplicaNão se aplica</t>
  </si>
  <si>
    <t>44593B3Energia convencionalNão se aplicaNão se aplicaNão se aplicaNão se aplicaNão se aplica</t>
  </si>
  <si>
    <t>44621B3Energia convencionalNão se aplicaNão se aplicaNão se aplicaNão se aplicaNão se aplica</t>
  </si>
  <si>
    <t>44652B3Energia convencionalNão se aplicaNão se aplicaNão se aplicaNão se aplicaNão se aplica</t>
  </si>
  <si>
    <t>44682B3Energia convencionalNão se aplicaNão se aplicaNão se aplicaNão se aplicaNão se aplica</t>
  </si>
  <si>
    <t>44713B3Energia convencionalNão se aplicaNão se aplicaNão se aplicaNão se aplicaNão se aplica</t>
  </si>
  <si>
    <t>44743B3Energia convencionalNão se aplicaNão se aplicaNão se aplicaNão se aplicaNão se aplica</t>
  </si>
  <si>
    <t>44774B3Energia convencionalNão se aplicaNão se aplicaNão se aplicaNão se aplicaNão se aplica</t>
  </si>
  <si>
    <t>44805B3Energia convencionalNão se aplicaNão se aplicaNão se aplicaNão se aplicaNão se aplica</t>
  </si>
  <si>
    <t>44835B3Energia convencionalNão se aplicaNão se aplicaNão se aplicaNão se aplicaNão se aplica</t>
  </si>
  <si>
    <t>44501B4Energia convencionalIluminação públicaIluminação pública – B4aNão se aplicaNão se aplicaNão se aplica</t>
  </si>
  <si>
    <t>44531B4Energia convencionalIluminação públicaIluminação pública – B4aNão se aplicaNão se aplicaNão se aplica</t>
  </si>
  <si>
    <t>44562B4Energia convencionalIluminação públicaIluminação pública – B4aNão se aplicaNão se aplicaNão se aplica</t>
  </si>
  <si>
    <t>44593B4Energia convencionalIluminação públicaIluminação pública – B4aNão se aplicaNão se aplicaNão se aplica</t>
  </si>
  <si>
    <t>44621B4Energia convencionalIluminação públicaIluminação pública – B4aNão se aplicaNão se aplicaNão se aplica</t>
  </si>
  <si>
    <t>44652B4Energia convencionalIluminação públicaIluminação pública – B4aNão se aplicaNão se aplicaNão se aplica</t>
  </si>
  <si>
    <t>44682B4Energia convencionalIluminação públicaIluminação pública – B4aNão se aplicaNão se aplicaNão se aplica</t>
  </si>
  <si>
    <t>44713B4Energia convencionalIluminação públicaIluminação pública – B4aNão se aplicaNão se aplicaNão se aplica</t>
  </si>
  <si>
    <t>44743B4Energia convencionalIluminação públicaIluminação pública – B4aNão se aplicaNão se aplicaNão se aplica</t>
  </si>
  <si>
    <t>44774B4Energia convencionalIluminação públicaIluminação pública – B4aNão se aplicaNão se aplicaNão se aplica</t>
  </si>
  <si>
    <t>44805B4Energia convencionalIluminação públicaIluminação pública – B4aNão se aplicaNão se aplicaNão se aplica</t>
  </si>
  <si>
    <t>44835B4Energia convencionalIluminação públicaIluminação pública – B4aNão se aplicaNão se aplicaNão se aplica</t>
  </si>
  <si>
    <t>RECEITA VERIFICADA</t>
  </si>
  <si>
    <t>TUSD</t>
  </si>
  <si>
    <t>ENCARGO</t>
  </si>
  <si>
    <t>TFSEE</t>
  </si>
  <si>
    <t>P&amp;D</t>
  </si>
  <si>
    <t>ONS</t>
  </si>
  <si>
    <t>CCC</t>
  </si>
  <si>
    <t>CDE</t>
  </si>
  <si>
    <t>PROINFA</t>
  </si>
  <si>
    <t>LIMINAR 1</t>
  </si>
  <si>
    <t>SUBTOTAL</t>
  </si>
  <si>
    <t>FIO A</t>
  </si>
  <si>
    <t>TUSD RB</t>
  </si>
  <si>
    <t>TUSD FR</t>
  </si>
  <si>
    <t>CONEXAO T</t>
  </si>
  <si>
    <t>CONEXAO D</t>
  </si>
  <si>
    <t>CUSD</t>
  </si>
  <si>
    <t>TUSDG-T</t>
  </si>
  <si>
    <t>TUSDG-ONS</t>
  </si>
  <si>
    <t>FIO B</t>
  </si>
  <si>
    <t>DISTRIBUICAO</t>
  </si>
  <si>
    <t>Nao se aplica</t>
  </si>
  <si>
    <t>SUBSIDIO</t>
  </si>
  <si>
    <t>OUTROS</t>
  </si>
  <si>
    <t>PERDAS</t>
  </si>
  <si>
    <t>PERDAS TECNICAS</t>
  </si>
  <si>
    <t>PERDAS RB/ PERDAS D</t>
  </si>
  <si>
    <t>PERDAS NAO TECNICAS</t>
  </si>
  <si>
    <t>RI</t>
  </si>
  <si>
    <t>TE</t>
  </si>
  <si>
    <t>ESS/ERR</t>
  </si>
  <si>
    <t>CFURH</t>
  </si>
  <si>
    <t>CDE ELET</t>
  </si>
  <si>
    <t>ENERGIA</t>
  </si>
  <si>
    <t>ENERGIA REVENDA</t>
  </si>
  <si>
    <t>ITAIPU</t>
  </si>
  <si>
    <t>TUST ITAIPU</t>
  </si>
  <si>
    <t>TUST CI</t>
  </si>
  <si>
    <t>PERDAS RB/C</t>
  </si>
  <si>
    <t>TOTAL</t>
  </si>
  <si>
    <t>TIPO TARIFA</t>
  </si>
  <si>
    <t>GRUPO DE CUSTO</t>
  </si>
  <si>
    <t>CUSTO</t>
  </si>
  <si>
    <t>BASE ECONÔMICA</t>
  </si>
  <si>
    <t>BASE FINANCEIRA</t>
  </si>
  <si>
    <t>CVA</t>
  </si>
  <si>
    <t>Parâmetros de cálculo</t>
  </si>
  <si>
    <t>IRP ECONÔMICO (%)</t>
  </si>
  <si>
    <t>IRP FINANCEIRO (%)</t>
  </si>
  <si>
    <t>IGP-M (%)</t>
  </si>
  <si>
    <t>ALÍQUOTA P&amp;D (%)</t>
  </si>
  <si>
    <t>PROJEÇÃO MERC. (%)</t>
  </si>
  <si>
    <t>Perdas TOTAIS (MWh)</t>
  </si>
  <si>
    <t>Perdas Técnicas (MWh)</t>
  </si>
  <si>
    <t>Perdas Não Técnicas (MWh)</t>
  </si>
  <si>
    <t>Perdas na RB (sobre perdas na D) (MWh)</t>
  </si>
  <si>
    <t>Perdas na RB (sobre mercado cativo) (MWh)</t>
  </si>
  <si>
    <t>ENERGIA REQUERIDA (MWh)</t>
  </si>
  <si>
    <t>PROINFA (MWh)</t>
  </si>
  <si>
    <t>MIX COMPRA (R$/MWh)</t>
  </si>
  <si>
    <t>ENERGIA ECON. (R$)</t>
  </si>
  <si>
    <t>ENERGIA FIN. (R$)</t>
  </si>
  <si>
    <t>ENERGIA CVA (R$)</t>
  </si>
  <si>
    <t>RB FIN. (R$)</t>
  </si>
  <si>
    <t>RB CVA (R$)</t>
  </si>
  <si>
    <t>P&amp;D FIN. (R$)</t>
  </si>
  <si>
    <t>P&amp;D CVA (R$)</t>
  </si>
  <si>
    <t>VERSÃO</t>
  </si>
  <si>
    <t>Constante FAIXA 1 BR</t>
  </si>
  <si>
    <t>Constante FAIXA 2 BR</t>
  </si>
  <si>
    <t>Constante FAIXA 3 BR</t>
  </si>
  <si>
    <t>Constante FAIXA 4 BR</t>
  </si>
  <si>
    <t>Constante B2 Rural</t>
  </si>
  <si>
    <t>Constante B2 Cooperativas</t>
  </si>
  <si>
    <t>Constante B2 SPI</t>
  </si>
  <si>
    <t>Constante B3</t>
  </si>
  <si>
    <t>Constante B4a</t>
  </si>
  <si>
    <t>Constante B4b</t>
  </si>
  <si>
    <t>Constante PUB. FAIXA 1 BR</t>
  </si>
  <si>
    <t>Constante PUB. FAIXA 2 BR</t>
  </si>
  <si>
    <t>Constante PUB. FAIXA 3 BR</t>
  </si>
  <si>
    <t>Constante PUB. FAIXA 4 BR</t>
  </si>
  <si>
    <t>Constante PUB. B2 Rural</t>
  </si>
  <si>
    <t>Constante PUB. B2 Cooperativas</t>
  </si>
  <si>
    <t>Constante PUB. B2 SPI</t>
  </si>
  <si>
    <t>Conexão CONS. A1</t>
  </si>
  <si>
    <t>CDE ENERGIA ACR</t>
  </si>
  <si>
    <t>CDE Covid TUSD</t>
  </si>
  <si>
    <t>P&amp;D ECON. (R$)</t>
  </si>
  <si>
    <t>CUIDADO</t>
  </si>
  <si>
    <t>CUSTOS</t>
  </si>
  <si>
    <t>CDE Covid TE</t>
  </si>
  <si>
    <t>ABA Merc. Rec. TUSD (kW)</t>
  </si>
  <si>
    <t>ABA Merc. Rec. TUSD (MWh)</t>
  </si>
  <si>
    <t>ABA Merc. Rec. TE (MWh)</t>
  </si>
  <si>
    <t>ABA Merc. TUSD TUSD (kW)</t>
  </si>
  <si>
    <t>ABA Merc. TUSD TUSD (MWh)</t>
  </si>
  <si>
    <t>ABA Merc. TE TE (MWh)</t>
  </si>
  <si>
    <t>TESTE TUSD (kW)</t>
  </si>
  <si>
    <t>TESTE TUSD (MWh)</t>
  </si>
  <si>
    <t>TESTE TE (MWh)</t>
  </si>
  <si>
    <t>Resolução</t>
  </si>
  <si>
    <t>RESOLUÇÃO HOMOLOGATÓRIA Nº 2.976, DE 23 DE NOVEMBRO DE 2021</t>
  </si>
  <si>
    <t>MERC.</t>
  </si>
  <si>
    <t>TR TUSD</t>
  </si>
  <si>
    <t>VAR AUX</t>
  </si>
  <si>
    <t>CUSTO REC. CAR.</t>
  </si>
  <si>
    <t>CUSTO REC. GER.</t>
  </si>
  <si>
    <t>CUSTO REC. DEM.</t>
  </si>
  <si>
    <t>CON. D/T</t>
  </si>
  <si>
    <t>COEF. AJ. BE</t>
  </si>
  <si>
    <t>TUSD BE</t>
  </si>
  <si>
    <t>CUSTO TEÓRICO</t>
  </si>
  <si>
    <t>COEF. AJ. BF</t>
  </si>
  <si>
    <t>(SUB)GRUPO</t>
  </si>
  <si>
    <t>TUSD (R$)</t>
  </si>
  <si>
    <t>TUSD (MWh)</t>
  </si>
  <si>
    <t>PNT (R$/MWh)</t>
  </si>
  <si>
    <t>VAR. AX01</t>
  </si>
  <si>
    <t>VAR. AX02</t>
  </si>
  <si>
    <t>TUSD BF</t>
  </si>
  <si>
    <t>COEF. AJ. CVA</t>
  </si>
  <si>
    <t>AUX. SUBS.</t>
  </si>
  <si>
    <t>TUSD CVA</t>
  </si>
  <si>
    <t>TR TE</t>
  </si>
  <si>
    <t>BASE TEÓRICA</t>
  </si>
  <si>
    <t>TE SUP.</t>
  </si>
  <si>
    <t>COEF. AJ. BE CDE S/ ACR</t>
  </si>
  <si>
    <t>COEF. AJ. BE CDE SÓ ACR</t>
  </si>
  <si>
    <t>TE BE</t>
  </si>
  <si>
    <t>TE BF</t>
  </si>
  <si>
    <t>TE CVA</t>
  </si>
  <si>
    <t>TOTAL ABAS</t>
  </si>
  <si>
    <t>AVALIAÇÃO</t>
  </si>
  <si>
    <t>Coeficientes de transição</t>
  </si>
  <si>
    <t>A2</t>
  </si>
  <si>
    <t>A3</t>
  </si>
  <si>
    <t>A3a</t>
  </si>
  <si>
    <t>AS</t>
  </si>
  <si>
    <t>Carga</t>
  </si>
  <si>
    <t>Ajustado para o passo 4 da transição. Não altere.</t>
  </si>
  <si>
    <t>TipoTarifa</t>
  </si>
  <si>
    <t>UP</t>
  </si>
  <si>
    <t>US</t>
  </si>
  <si>
    <t>UT</t>
  </si>
  <si>
    <t>AnoRef</t>
  </si>
  <si>
    <t>Evento</t>
  </si>
  <si>
    <t>Intermediário</t>
  </si>
  <si>
    <t>Energia</t>
  </si>
  <si>
    <t>Ativa</t>
  </si>
  <si>
    <t>Ponta</t>
  </si>
  <si>
    <t>Potência</t>
  </si>
  <si>
    <t>Fora ponta</t>
  </si>
  <si>
    <t>CÓD.</t>
  </si>
  <si>
    <t>TUSD (R$/kW)</t>
  </si>
  <si>
    <t>TUSD (R$/MWh)</t>
  </si>
  <si>
    <t>TE (R$/MWh)</t>
  </si>
  <si>
    <t>TUSD (R$/kW) NOVA</t>
  </si>
  <si>
    <t>TUSD (R$/MWh) NOVA</t>
  </si>
  <si>
    <t>TE (R$/MWh) NOVA</t>
  </si>
  <si>
    <t>Empresa</t>
  </si>
  <si>
    <t>Ramo</t>
  </si>
  <si>
    <t>Tipo</t>
  </si>
  <si>
    <t>Unidade</t>
  </si>
  <si>
    <t>Percentual Desconto</t>
  </si>
  <si>
    <t>modalidade</t>
  </si>
  <si>
    <t>subgrupo</t>
  </si>
  <si>
    <t>classe</t>
  </si>
  <si>
    <t>subclasse</t>
  </si>
  <si>
    <t>detalhe</t>
  </si>
  <si>
    <t>Passo atual</t>
  </si>
  <si>
    <t>desconto 0 - 8</t>
  </si>
  <si>
    <t>RA0 ou RV - TUSD (kW)</t>
  </si>
  <si>
    <t>RA0 ou RV - TUSD (MWh)</t>
  </si>
  <si>
    <t>RA0 ou RV - TE (MWh)</t>
  </si>
  <si>
    <t>RA1 ou RRD - TUSD (kW)</t>
  </si>
  <si>
    <t>RA1 ou RRD - TUSD (MWh)</t>
  </si>
  <si>
    <t>RA1 ou RRD - TE (MWh)</t>
  </si>
  <si>
    <t>RA0 ou RV - TUSD</t>
  </si>
  <si>
    <t>RA1 ou RRD - TUSD</t>
  </si>
  <si>
    <t>VARIAÇÃO</t>
  </si>
  <si>
    <t>RA0 ou RV - TE</t>
  </si>
  <si>
    <t>RA1 ou RRD - TE</t>
  </si>
  <si>
    <t>RA0 ou RV</t>
  </si>
  <si>
    <t>RA1 ou RRD</t>
  </si>
  <si>
    <t>A</t>
  </si>
  <si>
    <t>A+B</t>
  </si>
  <si>
    <t>Rótulos de Linha</t>
  </si>
  <si>
    <t>Soma de RA0 ou RV - TUSD (kW)</t>
  </si>
  <si>
    <t>Soma de RA1 ou RRD - TUSD (kW)</t>
  </si>
  <si>
    <t>Soma de RA0 ou RV - TUSD (MWh)</t>
  </si>
  <si>
    <t>Soma de RA1 ou RRD - TUSD (MWh)</t>
  </si>
  <si>
    <t>Soma de RA0 ou RV - TE (MWh)</t>
  </si>
  <si>
    <t>Soma de RA1 ou RRD - TE (MWh)</t>
  </si>
  <si>
    <t>Soma de Variação TUSD</t>
  </si>
  <si>
    <t>Soma de Variação TE</t>
  </si>
  <si>
    <t>Soma de Variação</t>
  </si>
  <si>
    <t>SUBSIDIO kW - TV</t>
  </si>
  <si>
    <t>SUBSIDIO MWh - TV</t>
  </si>
  <si>
    <t>SUBSIDIO kW - TN</t>
  </si>
  <si>
    <t>SUBSIDIO MWh - TN</t>
  </si>
  <si>
    <t>TIPO</t>
  </si>
  <si>
    <t>SUBSIDIO BAIXA RENDA</t>
  </si>
  <si>
    <t>SUBSIDIO RURAL</t>
  </si>
  <si>
    <t>SUBSIDIO ÁGUA, ESGOTO E SANEAMENTO</t>
  </si>
  <si>
    <t>R$ (TV)</t>
  </si>
  <si>
    <t>R$ (TN)</t>
  </si>
  <si>
    <t>SUBSIDIO CARGA FONTE INCENTIVADA</t>
  </si>
  <si>
    <t>SUBSIDIO GERAÇÃO FONTE INCENTIVADA</t>
  </si>
  <si>
    <t>SUBSIDIO DISTRIBUIÇÃO</t>
  </si>
  <si>
    <t>SUBSIDIO IRRIGANTE/AQUICULTOR</t>
  </si>
  <si>
    <t>AJUSTE ABRACE</t>
  </si>
  <si>
    <t>(vazio)</t>
  </si>
  <si>
    <t>Soma de SUBSIDIO kW - TV</t>
  </si>
  <si>
    <t>Soma de SUBSIDIO MWh - TV</t>
  </si>
  <si>
    <t>Soma de SUBSIDIO kW - TN</t>
  </si>
  <si>
    <t>Soma de SUBSIDIO MWh - TN</t>
  </si>
  <si>
    <t>Soma de TOTAL TV</t>
  </si>
  <si>
    <t>Soma de TOTAL TN</t>
  </si>
  <si>
    <t>Azul1Serviço públicoÁgua, esgoto e saneamentoPlanilha CUSTOA4</t>
  </si>
  <si>
    <t>2021</t>
  </si>
  <si>
    <t>Planilha CUSTO</t>
  </si>
  <si>
    <t>Verde1Serviço públicoÁgua, esgoto e saneamentoPlanilha CUSTOA4</t>
  </si>
  <si>
    <t>Convencional 1Serviço públicoÁgua, esgoto e saneamentoPlanilha CUSTOA4</t>
  </si>
  <si>
    <t xml:space="preserve">Convencional </t>
  </si>
  <si>
    <t>Convencional1Serviço públicoÁgua, esgoto e saneamentoPlanilha CUSTOB3</t>
  </si>
  <si>
    <t>Branca1Serviço públicoÁgua, esgoto e saneamentoPlanilha CUSTOB3</t>
  </si>
  <si>
    <t>Convencional1RuralCooperativa de eletrificação ruralPlanilha CUSTOB2</t>
  </si>
  <si>
    <t>Branca 1RuralCooperativa de eletrificação ruralPlanilha CUSTOB2</t>
  </si>
  <si>
    <t xml:space="preserve">Branca </t>
  </si>
  <si>
    <t>Azul1RuralNão se aplicaPlanilha CustoA4</t>
  </si>
  <si>
    <t>Planilha Custo</t>
  </si>
  <si>
    <t>Verde1RuralNão se aplicaPlanilha CustoA4</t>
  </si>
  <si>
    <t>Convencional1RuralNão se aplicaPlanilha CustoA4</t>
  </si>
  <si>
    <t>Convencional1RuralNão se aplicaRuralB2</t>
  </si>
  <si>
    <t>Branca1RuralNão se aplicaRuralB2</t>
  </si>
  <si>
    <t>Convencional1RuralServiço público de irrigação ruralPlanilha CUSTOB2</t>
  </si>
  <si>
    <t>Branca 1RuralServiço público de irrigação ruralPlanilha CUSTOB2</t>
  </si>
  <si>
    <t>Chave</t>
  </si>
  <si>
    <t>Cod</t>
  </si>
  <si>
    <t>idagente</t>
  </si>
  <si>
    <t>IdUC</t>
  </si>
  <si>
    <t>SubClasse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</si>
  <si>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</si>
  <si>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</si>
  <si>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</si>
  <si>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</si>
  <si>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</si>
  <si>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</si>
  <si>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</si>
  <si>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</si>
  <si>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</si>
  <si>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Passo_Atual</t>
  </si>
  <si>
    <t>TUSD kW R$</t>
  </si>
  <si>
    <t>TUSD MW R$</t>
  </si>
  <si>
    <t>TE MWh R$</t>
  </si>
  <si>
    <t>SUB TUSD kW R$</t>
  </si>
  <si>
    <t>SUB TUSD MW R$</t>
  </si>
  <si>
    <t>SUB TE MWh R$</t>
  </si>
  <si>
    <t>TABELA CONSISTÊNCIA</t>
  </si>
  <si>
    <t>A1</t>
  </si>
  <si>
    <t>TUSD kW COMP. PR. R$</t>
  </si>
  <si>
    <t>TUSD MWh COMP. PR. R$</t>
  </si>
  <si>
    <t>TE MWh COMP. PR. R$</t>
  </si>
  <si>
    <t>TUSD kW SUB. PR. R$</t>
  </si>
  <si>
    <t>TUSD MWh SUB. PR. R$</t>
  </si>
  <si>
    <t>TE MWh SUB. PR. R$</t>
  </si>
  <si>
    <t>TUSD kW EFT. PR. R$</t>
  </si>
  <si>
    <t>TUSD MWh EFT. PR. R$</t>
  </si>
  <si>
    <t>TE MWh EFT. PR. R$</t>
  </si>
  <si>
    <t>TUSD kW EFT. VR. R$</t>
  </si>
  <si>
    <t>TUSD MWh EFT. VR. R$</t>
  </si>
  <si>
    <t>TE MWh EFT. VR. R$</t>
  </si>
  <si>
    <t>TUSD kW SUB. VR. R$</t>
  </si>
  <si>
    <t>TUSD+TE MWh SUB. VR. R$</t>
  </si>
  <si>
    <t>EFT. TUSD kW</t>
  </si>
  <si>
    <t>EFT. TUSD MWh</t>
  </si>
  <si>
    <t>EFT. TE MWh</t>
  </si>
  <si>
    <t>SUB. TUSD kW</t>
  </si>
  <si>
    <t>SUB. TUSD+TE MWh</t>
  </si>
  <si>
    <t>PLANILHA</t>
  </si>
  <si>
    <t>ERRO DETECTADO</t>
  </si>
  <si>
    <t>TABELA 1 - TARIFAS DE APLICAÇÃO E BASE ECONÔMICA PARA O GRUPO A</t>
  </si>
  <si>
    <t>ACESSANTE</t>
  </si>
  <si>
    <t>TARIFAS DE APLICAÇÃO</t>
  </si>
  <si>
    <t>R$/kW</t>
  </si>
  <si>
    <t>R$/MWh</t>
  </si>
  <si>
    <t>P</t>
  </si>
  <si>
    <t>FP</t>
  </si>
  <si>
    <t>Azul APE</t>
  </si>
  <si>
    <t>NA</t>
  </si>
  <si>
    <t>Verde APE</t>
  </si>
  <si>
    <t>TABELA 2 - TARIFAS DE APLICAÇÃO E BASE ECONÔMICA PARA O GRUPO B</t>
  </si>
  <si>
    <t>BRANCA</t>
  </si>
  <si>
    <t>RESIDENCIAL</t>
  </si>
  <si>
    <t>INT</t>
  </si>
  <si>
    <t>PRÉ-PAGAMENTO</t>
  </si>
  <si>
    <t>BAIXA RENDA</t>
  </si>
  <si>
    <t>CONVENCIONAL</t>
  </si>
  <si>
    <t>RURAL</t>
  </si>
  <si>
    <t>NÃO SE APLICA</t>
  </si>
  <si>
    <t>COOPERATIVA DE ELETRIFICAÇÃO RURAL</t>
  </si>
  <si>
    <t>SERVIÇO PÚBLICO DE IRRIGAÇÃO RURAL</t>
  </si>
  <si>
    <t>ILUMINAÇÃO PÚBLICA</t>
  </si>
  <si>
    <t>ILUMINAÇÃO PÚBLICA – B4A</t>
  </si>
  <si>
    <t>ILUMINAÇÃO PÚBLICA – B4B</t>
  </si>
  <si>
    <t>GERAÇÃO</t>
  </si>
  <si>
    <t>TUSD BASE FINANCEIRA NOVA</t>
  </si>
  <si>
    <t>TUSD BASE FINANCEIRA VIGENTE</t>
  </si>
  <si>
    <t>A4Azul</t>
  </si>
  <si>
    <t>A4AzulNão se aplica</t>
  </si>
  <si>
    <t>A4AzulNão se aplicaNão se aplica</t>
  </si>
  <si>
    <t>A4AzulNão se aplicaNão se aplicaNão se aplica</t>
  </si>
  <si>
    <t>A4AzulNão se aplicaNão se aplicaNão se aplicaNão se aplica</t>
  </si>
  <si>
    <t>A4AzulNão se aplicaNão se aplicaNão se aplicaNão se aplicaDP</t>
  </si>
  <si>
    <t>A4AzulNão se aplicaNão se aplicaNão se aplicaNão se aplicaDFP</t>
  </si>
  <si>
    <t>A4AzulNão se aplicaNão se aplicaNão se aplicaNão se aplicaE</t>
  </si>
  <si>
    <t>A4AzulNão se aplicaNão se aplicaAPE</t>
  </si>
  <si>
    <t>A4AzulNão se aplicaNão se aplicaAPENão se aplica</t>
  </si>
  <si>
    <t>A4AzulNão se aplicaNão se aplicaAPENão se aplicaE</t>
  </si>
  <si>
    <t>A4Geração</t>
  </si>
  <si>
    <t>A4GeraçãoNão se aplica</t>
  </si>
  <si>
    <t>A4GeraçãoNão se aplicaNão se aplica</t>
  </si>
  <si>
    <t>A4GeraçãoNão se aplicaNão se aplicaNão se aplica</t>
  </si>
  <si>
    <t>A4GeraçãoNão se aplicaNão se aplicaNão se aplicaNão se aplica</t>
  </si>
  <si>
    <t>A4GeraçãoNão se aplicaNão se aplicaNão se aplicaNão se aplicaD</t>
  </si>
  <si>
    <t>A4Verde</t>
  </si>
  <si>
    <t>A4VerdeNão se aplica</t>
  </si>
  <si>
    <t>A4VerdeNão se aplicaNão se aplica</t>
  </si>
  <si>
    <t>A4VerdeNão se aplicaNão se aplicaNão se aplica</t>
  </si>
  <si>
    <t>A4VerdeNão se aplicaNão se aplicaNão se aplicaNão se aplica</t>
  </si>
  <si>
    <t>A4VerdeNão se aplicaNão se aplicaNão se aplicaNão se aplicaD</t>
  </si>
  <si>
    <t>A4VerdeNão se aplicaNão se aplicaNão se aplicaNão se aplicaEP</t>
  </si>
  <si>
    <t>A4VerdeNão se aplicaNão se aplicaNão se aplicaNão se aplicaEFP</t>
  </si>
  <si>
    <t>A4VerdeNão se aplicaNão se aplicaAPE</t>
  </si>
  <si>
    <t>A4VerdeNão se aplicaNão se aplicaAPENão se aplica</t>
  </si>
  <si>
    <t>A4VerdeNão se aplicaNão se aplicaAPENão se aplicaEP</t>
  </si>
  <si>
    <t>A4VerdeNão se aplicaNão se aplicaAPENão se aplicaEFP</t>
  </si>
  <si>
    <t>BGeração</t>
  </si>
  <si>
    <t>BGeraçãoNão se aplica</t>
  </si>
  <si>
    <t>BGeraçãoNão se aplicaNão se aplica</t>
  </si>
  <si>
    <t>BGeraçãoNão se aplicaNão se aplicaTIPO 01</t>
  </si>
  <si>
    <t>BGeraçãoNão se aplicaNão se aplicaTIPO 01Não se aplica</t>
  </si>
  <si>
    <t>BGeraçãoNão se aplicaNão se aplicaTIPO 01Não se aplicaD</t>
  </si>
  <si>
    <t>BGeraçãoNão se aplicaNão se aplicaTIPO 02</t>
  </si>
  <si>
    <t>BGeraçãoNão se aplicaNão se aplicaTIPO 02Não se aplica</t>
  </si>
  <si>
    <t>BGeraçãoNão se aplicaNão se aplicaTIPO 02Não se aplicaD</t>
  </si>
  <si>
    <t>B1Branca</t>
  </si>
  <si>
    <t>B1BrancaResidencial</t>
  </si>
  <si>
    <t>B1BrancaResidencialResidencial</t>
  </si>
  <si>
    <t>B1BrancaResidencialResidencialNão se aplica</t>
  </si>
  <si>
    <t>B1BrancaResidencialResidencialNão se aplicaNão se aplica</t>
  </si>
  <si>
    <t>B1BrancaResidencialResidencialNão se aplicaNão se aplicaEP</t>
  </si>
  <si>
    <t>B1BrancaResidencialResidencialNão se aplicaNão se aplicaEINT</t>
  </si>
  <si>
    <t>B1BrancaResidencialResidencialNão se aplicaNão se aplicaEFP</t>
  </si>
  <si>
    <t>B1Convencional</t>
  </si>
  <si>
    <t>B1ConvencionalResidencial</t>
  </si>
  <si>
    <t>B1ConvencionalResidencialResidencial</t>
  </si>
  <si>
    <t>B1ConvencionalResidencialResidencialNão se aplica</t>
  </si>
  <si>
    <t>B1ConvencionalResidencialResidencialNão se aplicaNão se aplica</t>
  </si>
  <si>
    <t>B1ConvencionalResidencialResidencialNão se aplicaNão se aplicaE</t>
  </si>
  <si>
    <t>B1ConvencionalResidencialResidencial baixa renda – faixa 01</t>
  </si>
  <si>
    <t>B1ConvencionalResidencialResidencial baixa renda – faixa 01Não se aplica</t>
  </si>
  <si>
    <t>B1ConvencionalResidencialResidencial baixa renda – faixa 01Não se aplicaNão se aplica</t>
  </si>
  <si>
    <t>B1ConvencionalResidencialResidencial baixa renda – faixa 01Não se aplicaNão se aplicaE</t>
  </si>
  <si>
    <t>B1ConvencionalResidencialResidencial baixa renda – faixa 02</t>
  </si>
  <si>
    <t>B1ConvencionalResidencialResidencial baixa renda – faixa 02Não se aplica</t>
  </si>
  <si>
    <t>B1ConvencionalResidencialResidencial baixa renda – faixa 02Não se aplicaNão se aplica</t>
  </si>
  <si>
    <t>B1ConvencionalResidencialResidencial baixa renda – faixa 02Não se aplicaNão se aplicaE</t>
  </si>
  <si>
    <t>B1ConvencionalResidencialResidencial baixa renda – faixa 03</t>
  </si>
  <si>
    <t>B1ConvencionalResidencialResidencial baixa renda – faixa 03Não se aplica</t>
  </si>
  <si>
    <t>B1ConvencionalResidencialResidencial baixa renda – faixa 03Não se aplicaNão se aplica</t>
  </si>
  <si>
    <t>B1ConvencionalResidencialResidencial baixa renda – faixa 03Não se aplicaNão se aplicaE</t>
  </si>
  <si>
    <t>B1ConvencionalResidencialResidencial baixa renda – faixa 04</t>
  </si>
  <si>
    <t>B1ConvencionalResidencialResidencial baixa renda – faixa 04Não se aplica</t>
  </si>
  <si>
    <t>B1ConvencionalResidencialResidencial baixa renda – faixa 04Não se aplicaNão se aplica</t>
  </si>
  <si>
    <t>B1ConvencionalResidencialResidencial baixa renda – faixa 04Não se aplicaNão se aplicaE</t>
  </si>
  <si>
    <t>B1Convencional pré-pagamento</t>
  </si>
  <si>
    <t>B1Convencional pré-pagamentoResidencial</t>
  </si>
  <si>
    <t>B1Convencional pré-pagamentoResidencialResidencial</t>
  </si>
  <si>
    <t>B1Convencional pré-pagamentoResidencialResidencialNão se aplica</t>
  </si>
  <si>
    <t>B1Convencional pré-pagamentoResidencialResidencialNão se aplicaNão se aplica</t>
  </si>
  <si>
    <t>B1Convencional pré-pagamentoResidencialResidencialNão se aplicaNão se aplicaE</t>
  </si>
  <si>
    <t>B1Convencional pré-pagamentoResidencialResidencial baixa renda – faixa 01</t>
  </si>
  <si>
    <t>B1Convencional pré-pagamentoResidencialResidencial baixa renda – faixa 01Não se aplica</t>
  </si>
  <si>
    <t>B1Convencional pré-pagamentoResidencialResidencial baixa renda – faixa 01Não se aplicaNão se aplica</t>
  </si>
  <si>
    <t>B1Convencional pré-pagamentoResidencialResidencial baixa renda – faixa 01Não se aplicaNão se aplicaE</t>
  </si>
  <si>
    <t>B1Convencional pré-pagamentoResidencialResidencial baixa renda – faixa 02</t>
  </si>
  <si>
    <t>B1Convencional pré-pagamentoResidencialResidencial baixa renda – faixa 02Não se aplica</t>
  </si>
  <si>
    <t>B1Convencional pré-pagamentoResidencialResidencial baixa renda – faixa 02Não se aplicaNão se aplica</t>
  </si>
  <si>
    <t>B1Convencional pré-pagamentoResidencialResidencial baixa renda – faixa 02Não se aplicaNão se aplicaE</t>
  </si>
  <si>
    <t>B1Convencional pré-pagamentoResidencialResidencial baixa renda – faixa 03</t>
  </si>
  <si>
    <t>B1Convencional pré-pagamentoResidencialResidencial baixa renda – faixa 03Não se aplica</t>
  </si>
  <si>
    <t>B1Convencional pré-pagamentoResidencialResidencial baixa renda – faixa 03Não se aplicaNão se aplica</t>
  </si>
  <si>
    <t>B1Convencional pré-pagamentoResidencialResidencial baixa renda – faixa 03Não se aplicaNão se aplicaE</t>
  </si>
  <si>
    <t>B1Convencional pré-pagamentoResidencialResidencial baixa renda – faixa 04</t>
  </si>
  <si>
    <t>B1Convencional pré-pagamentoResidencialResidencial baixa renda – faixa 04Não se aplica</t>
  </si>
  <si>
    <t>B1Convencional pré-pagamentoResidencialResidencial baixa renda – faixa 04Não se aplicaNão se aplica</t>
  </si>
  <si>
    <t>B1Convencional pré-pagamentoResidencialResidencial baixa renda – faixa 04Não se aplicaNão se aplicaE</t>
  </si>
  <si>
    <t>B2Branca</t>
  </si>
  <si>
    <t>B2BrancaRural</t>
  </si>
  <si>
    <t>B2BrancaRuralNão se aplica</t>
  </si>
  <si>
    <t>B2BrancaRuralNão se aplicaNão se aplica</t>
  </si>
  <si>
    <t>B2BrancaRuralNão se aplicaNão se aplicaNão se aplica</t>
  </si>
  <si>
    <t>B2BrancaRuralNão se aplicaNão se aplicaNão se aplicaEP</t>
  </si>
  <si>
    <t>B2BrancaRuralNão se aplicaNão se aplicaNão se aplicaEINT</t>
  </si>
  <si>
    <t>B2BrancaRuralNão se aplicaNão se aplicaNão se aplicaEFP</t>
  </si>
  <si>
    <t>B2Convencional</t>
  </si>
  <si>
    <t>B2ConvencionalRural</t>
  </si>
  <si>
    <t>B2ConvencionalRuralNão se aplica</t>
  </si>
  <si>
    <t>B2ConvencionalRuralNão se aplicaNão se aplica</t>
  </si>
  <si>
    <t>B2ConvencionalRuralNão se aplicaNão se aplicaNão se aplica</t>
  </si>
  <si>
    <t>B2ConvencionalRuralNão se aplicaNão se aplicaNão se aplicaE</t>
  </si>
  <si>
    <t>B2BrancaRuralCooperativa de eletrificação rural</t>
  </si>
  <si>
    <t>B2BrancaRuralCooperativa de eletrificação ruralNão se aplica</t>
  </si>
  <si>
    <t>B2BrancaRuralCooperativa de eletrificação ruralNão se aplicaNão se aplica</t>
  </si>
  <si>
    <t>B2BrancaRuralCooperativa de eletrificação ruralNão se aplicaNão se aplicaEP</t>
  </si>
  <si>
    <t>B2BrancaRuralCooperativa de eletrificação ruralNão se aplicaNão se aplicaEINT</t>
  </si>
  <si>
    <t>B2BrancaRuralCooperativa de eletrificação ruralNão se aplicaNão se aplicaEFP</t>
  </si>
  <si>
    <t>B2ConvencionalRuralCooperativa de eletrificação rural</t>
  </si>
  <si>
    <t>B2ConvencionalRuralCooperativa de eletrificação ruralNão se aplica</t>
  </si>
  <si>
    <t>B2ConvencionalRuralCooperativa de eletrificação ruralNão se aplicaNão se aplica</t>
  </si>
  <si>
    <t>B2ConvencionalRuralCooperativa de eletrificação ruralNão se aplicaNão se aplicaE</t>
  </si>
  <si>
    <t>B2BrancaRuralServiço público de irrigação rural</t>
  </si>
  <si>
    <t>B2BrancaRuralServiço público de irrigação ruralNão se aplica</t>
  </si>
  <si>
    <t>B2BrancaRuralServiço público de irrigação ruralNão se aplicaNão se aplica</t>
  </si>
  <si>
    <t>B2BrancaRuralServiço público de irrigação ruralNão se aplicaNão se aplicaEP</t>
  </si>
  <si>
    <t>B2BrancaRuralServiço público de irrigação ruralNão se aplicaNão se aplicaEINT</t>
  </si>
  <si>
    <t>B2BrancaRuralServiço público de irrigação ruralNão se aplicaNão se aplicaEFP</t>
  </si>
  <si>
    <t>B2ConvencionalRuralServiço público de irrigação rural</t>
  </si>
  <si>
    <t>B2ConvencionalRuralServiço público de irrigação ruralNão se aplica</t>
  </si>
  <si>
    <t>B2ConvencionalRuralServiço público de irrigação ruralNão se aplicaNão se aplica</t>
  </si>
  <si>
    <t>B2ConvencionalRuralServiço público de irrigação ruralNão se aplicaNão se aplicaE</t>
  </si>
  <si>
    <t>B2Convencional pré-pagamento</t>
  </si>
  <si>
    <t>B2Convencional pré-pagamentoRural</t>
  </si>
  <si>
    <t>B2Convencional pré-pagamentoRuralNão se aplica</t>
  </si>
  <si>
    <t>B2Convencional pré-pagamentoRuralNão se aplicaNão se aplica</t>
  </si>
  <si>
    <t>B2Convencional pré-pagamentoRuralNão se aplicaNão se aplicaNão se aplica</t>
  </si>
  <si>
    <t>B2Convencional pré-pagamentoRuralNão se aplicaNão se aplicaNão se aplicaE</t>
  </si>
  <si>
    <t>B2Convencional pré-pagamentoRuralCooperativa de eletrificação rural</t>
  </si>
  <si>
    <t>B2Convencional pré-pagamentoRuralCooperativa de eletrificação ruralNão se aplica</t>
  </si>
  <si>
    <t>B2Convencional pré-pagamentoRuralCooperativa de eletrificação ruralNão se aplicaNão se aplica</t>
  </si>
  <si>
    <t>B2Convencional pré-pagamentoRuralCooperativa de eletrificação ruralNão se aplicaNão se aplicaE</t>
  </si>
  <si>
    <t>B2Convencional pré-pagamentoRuralServiço público de irrigação rural</t>
  </si>
  <si>
    <t>B2Convencional pré-pagamentoRuralServiço público de irrigação ruralNão se aplica</t>
  </si>
  <si>
    <t>B2Convencional pré-pagamentoRuralServiço público de irrigação ruralNão se aplicaNão se aplica</t>
  </si>
  <si>
    <t>B2Convencional pré-pagamentoRuralServiço público de irrigação ruralNão se aplicaNão se aplicaE</t>
  </si>
  <si>
    <t>B3Branca</t>
  </si>
  <si>
    <t>B3BrancaNão se aplica</t>
  </si>
  <si>
    <t>B3BrancaNão se aplicaNão se aplica</t>
  </si>
  <si>
    <t>B3BrancaNão se aplicaNão se aplicaNão se aplica</t>
  </si>
  <si>
    <t>B3BrancaNão se aplicaNão se aplicaNão se aplicaNão se aplica</t>
  </si>
  <si>
    <t>B3BrancaNão se aplicaNão se aplicaNão se aplicaNão se aplicaEP</t>
  </si>
  <si>
    <t>B3BrancaNão se aplicaNão se aplicaNão se aplicaNão se aplicaEINT</t>
  </si>
  <si>
    <t>B3BrancaNão se aplicaNão se aplicaNão se aplicaNão se aplicaEFP</t>
  </si>
  <si>
    <t>B3Convencional</t>
  </si>
  <si>
    <t>B3ConvencionalNão se aplica</t>
  </si>
  <si>
    <t>B3ConvencionalNão se aplicaNão se aplica</t>
  </si>
  <si>
    <t>B3ConvencionalNão se aplicaNão se aplicaNão se aplica</t>
  </si>
  <si>
    <t>B3ConvencionalNão se aplicaNão se aplicaNão se aplicaNão se aplica</t>
  </si>
  <si>
    <t>B3ConvencionalNão se aplicaNão se aplicaNão se aplicaNão se aplicaE</t>
  </si>
  <si>
    <t>B3Convencional pré-pagamento</t>
  </si>
  <si>
    <t>B3Convencional pré-pagamentoNão se aplica</t>
  </si>
  <si>
    <t>B3Convencional pré-pagamentoNão se aplicaNão se aplica</t>
  </si>
  <si>
    <t>B3Convencional pré-pagamentoNão se aplicaNão se aplicaNão se aplica</t>
  </si>
  <si>
    <t>B3Convencional pré-pagamentoNão se aplicaNão se aplicaNão se aplicaNão se aplica</t>
  </si>
  <si>
    <t>B3Convencional pré-pagamentoNão se aplicaNão se aplicaNão se aplicaNão se aplicaE</t>
  </si>
  <si>
    <t>B4Convencional</t>
  </si>
  <si>
    <t>B4ConvencionalIluminação pública</t>
  </si>
  <si>
    <t>B4ConvencionalIluminação públicaIluminação pública – B4a</t>
  </si>
  <si>
    <t>B4ConvencionalIluminação públicaIluminação pública – B4aNão se aplica</t>
  </si>
  <si>
    <t>B4ConvencionalIluminação públicaIluminação pública – B4aNão se aplicaNão se aplica</t>
  </si>
  <si>
    <t>B4ConvencionalIluminação públicaIluminação pública – B4aNão se aplicaNão se aplicaE</t>
  </si>
  <si>
    <t>B4ConvencionalIluminação públicaIluminação pública – B4b</t>
  </si>
  <si>
    <t>B4ConvencionalIluminação públicaIluminação pública – B4bNão se aplica</t>
  </si>
  <si>
    <t>B4ConvencionalIluminação públicaIluminação pública – B4bNão se aplicaNão se aplica</t>
  </si>
  <si>
    <t>B4ConvencionalIluminação públicaIluminação pública – B4bNão se aplicaNão se aplicaE</t>
  </si>
  <si>
    <t>TE BASE FINANCEIRA NOVA</t>
  </si>
  <si>
    <t>TE BASE FINANCEIRA VIGENTE</t>
  </si>
  <si>
    <t>A4Energia horária</t>
  </si>
  <si>
    <t>A4Energia horáriaNão se aplica</t>
  </si>
  <si>
    <t>A4Energia horáriaNão se aplicaNão se aplica</t>
  </si>
  <si>
    <t>A4Energia horáriaNão se aplicaNão se aplicaNão se aplica</t>
  </si>
  <si>
    <t>A4Energia horáriaNão se aplicaNão se aplicaNão se aplicaNão se aplica</t>
  </si>
  <si>
    <t>A4Energia horáriaNão se aplicaNão se aplicaNão se aplicaNão se aplicaEP</t>
  </si>
  <si>
    <t>A4Energia horáriaNão se aplicaNão se aplicaNão se aplicaNão se aplicaEFP</t>
  </si>
  <si>
    <t>B1Energia horária</t>
  </si>
  <si>
    <t>B1Energia horáriaResidencial</t>
  </si>
  <si>
    <t>B1Energia horáriaResidencialResidencial</t>
  </si>
  <si>
    <t>B1Energia horáriaResidencialResidencialNão se aplica</t>
  </si>
  <si>
    <t>B1Energia horáriaResidencialResidencialNão se aplicaNão se aplica</t>
  </si>
  <si>
    <t>B1Energia horáriaResidencialResidencialNão se aplicaNão se aplicaEP</t>
  </si>
  <si>
    <t>B1Energia horáriaResidencialResidencialNão se aplicaNão se aplicaEINT</t>
  </si>
  <si>
    <t>B1Energia horáriaResidencialResidencialNão se aplicaNão se aplicaEFP</t>
  </si>
  <si>
    <t>B1Energia convencional</t>
  </si>
  <si>
    <t>B1Energia convencionalResidencial</t>
  </si>
  <si>
    <t>B1Energia convencionalResidencialResidencial</t>
  </si>
  <si>
    <t>B1Energia convencionalResidencialResidencialNão se aplica</t>
  </si>
  <si>
    <t>B1Energia convencionalResidencialResidencialNão se aplicaNão se aplica</t>
  </si>
  <si>
    <t>B1Energia convencionalResidencialResidencialNão se aplicaNão se aplicaE</t>
  </si>
  <si>
    <t>B1Energia convencionalResidencialResidencial baixa renda – faixa 01</t>
  </si>
  <si>
    <t>B1Energia convencionalResidencialResidencial baixa renda – faixa 01Não se aplica</t>
  </si>
  <si>
    <t>B1Energia convencionalResidencialResidencial baixa renda – faixa 01Não se aplicaNão se aplica</t>
  </si>
  <si>
    <t>B1Energia convencionalResidencialResidencial baixa renda – faixa 01Não se aplicaNão se aplicaE</t>
  </si>
  <si>
    <t>B1Energia convencionalResidencialResidencial baixa renda – faixa 02</t>
  </si>
  <si>
    <t>B1Energia convencionalResidencialResidencial baixa renda – faixa 02Não se aplica</t>
  </si>
  <si>
    <t>B1Energia convencionalResidencialResidencial baixa renda – faixa 02Não se aplicaNão se aplica</t>
  </si>
  <si>
    <t>B1Energia convencionalResidencialResidencial baixa renda – faixa 02Não se aplicaNão se aplicaE</t>
  </si>
  <si>
    <t>B1Energia convencionalResidencialResidencial baixa renda – faixa 03</t>
  </si>
  <si>
    <t>B1Energia convencionalResidencialResidencial baixa renda – faixa 03Não se aplica</t>
  </si>
  <si>
    <t>B1Energia convencionalResidencialResidencial baixa renda – faixa 03Não se aplicaNão se aplica</t>
  </si>
  <si>
    <t>B1Energia convencionalResidencialResidencial baixa renda – faixa 03Não se aplicaNão se aplicaE</t>
  </si>
  <si>
    <t>B1Energia convencionalResidencialResidencial baixa renda – faixa 04</t>
  </si>
  <si>
    <t>B1Energia convencionalResidencialResidencial baixa renda – faixa 04Não se aplica</t>
  </si>
  <si>
    <t>B1Energia convencionalResidencialResidencial baixa renda – faixa 04Não se aplicaNão se aplica</t>
  </si>
  <si>
    <t>B1Energia convencionalResidencialResidencial baixa renda – faixa 04Não se aplicaNão se aplicaE</t>
  </si>
  <si>
    <t>B1Energia convencional pré-pagamento</t>
  </si>
  <si>
    <t>B1Energia convencional pré-pagamentoResidencial</t>
  </si>
  <si>
    <t>B1Energia convencional pré-pagamentoResidencialResidencial</t>
  </si>
  <si>
    <t>B1Energia convencional pré-pagamentoResidencialResidencialNão se aplica</t>
  </si>
  <si>
    <t>B1Energia convencional pré-pagamentoResidencialResidencialNão se aplicaNão se aplica</t>
  </si>
  <si>
    <t>B1Energia convencional pré-pagamentoResidencialResidencialNão se aplicaNão se aplicaE</t>
  </si>
  <si>
    <t>B1Energia convencional pré-pagamentoResidencialResidencial baixa renda – faixa 01</t>
  </si>
  <si>
    <t>B1Energia convencional pré-pagamentoResidencialResidencial baixa renda – faixa 01Não se aplica</t>
  </si>
  <si>
    <t>B1Energia convencional pré-pagamentoResidencialResidencial baixa renda – faixa 01Não se aplicaNão se aplica</t>
  </si>
  <si>
    <t>B1Energia convencional pré-pagamentoResidencialResidencial baixa renda – faixa 01Não se aplicaNão se aplicaE</t>
  </si>
  <si>
    <t>B1Energia convencional pré-pagamentoResidencialResidencial baixa renda – faixa 02</t>
  </si>
  <si>
    <t>B1Energia convencional pré-pagamentoResidencialResidencial baixa renda – faixa 02Não se aplica</t>
  </si>
  <si>
    <t>B1Energia convencional pré-pagamentoResidencialResidencial baixa renda – faixa 02Não se aplicaNão se aplica</t>
  </si>
  <si>
    <t>B1Energia convencional pré-pagamentoResidencialResidencial baixa renda – faixa 02Não se aplicaNão se aplicaE</t>
  </si>
  <si>
    <t>B1Energia convencional pré-pagamentoResidencialResidencial baixa renda – faixa 03</t>
  </si>
  <si>
    <t>B1Energia convencional pré-pagamentoResidencialResidencial baixa renda – faixa 03Não se aplica</t>
  </si>
  <si>
    <t>B1Energia convencional pré-pagamentoResidencialResidencial baixa renda – faixa 03Não se aplicaNão se aplica</t>
  </si>
  <si>
    <t>B1Energia convencional pré-pagamentoResidencialResidencial baixa renda – faixa 03Não se aplicaNão se aplicaE</t>
  </si>
  <si>
    <t>B1Energia convencional pré-pagamentoResidencialResidencial baixa renda – faixa 04</t>
  </si>
  <si>
    <t>B1Energia convencional pré-pagamentoResidencialResidencial baixa renda – faixa 04Não se aplica</t>
  </si>
  <si>
    <t>B1Energia convencional pré-pagamentoResidencialResidencial baixa renda – faixa 04Não se aplicaNão se aplica</t>
  </si>
  <si>
    <t>B1Energia convencional pré-pagamentoResidencialResidencial baixa renda – faixa 04Não se aplicaNão se aplicaE</t>
  </si>
  <si>
    <t>B2Energia horária</t>
  </si>
  <si>
    <t>B2Energia horáriaRural</t>
  </si>
  <si>
    <t>B2Energia horáriaRuralNão se aplica</t>
  </si>
  <si>
    <t>B2Energia horáriaRuralNão se aplicaNão se aplica</t>
  </si>
  <si>
    <t>B2Energia horáriaRuralNão se aplicaNão se aplicaNão se aplica</t>
  </si>
  <si>
    <t>B2Energia horáriaRuralNão se aplicaNão se aplicaNão se aplicaEP</t>
  </si>
  <si>
    <t>B2Energia horáriaRuralNão se aplicaNão se aplicaNão se aplicaEINT</t>
  </si>
  <si>
    <t>B2Energia horáriaRuralNão se aplicaNão se aplicaNão se aplicaEFP</t>
  </si>
  <si>
    <t>B2Energia convencional</t>
  </si>
  <si>
    <t>B2Energia convencionalRural</t>
  </si>
  <si>
    <t>B2Energia convencionalRuralNão se aplica</t>
  </si>
  <si>
    <t>B2Energia convencionalRuralNão se aplicaNão se aplica</t>
  </si>
  <si>
    <t>B2Energia convencionalRuralNão se aplicaNão se aplicaNão se aplica</t>
  </si>
  <si>
    <t>B2Energia convencionalRuralNão se aplicaNão se aplicaNão se aplicaE</t>
  </si>
  <si>
    <t>B2Energia horáriaRuralCooperativa de eletrificação rural</t>
  </si>
  <si>
    <t>B2Energia horáriaRuralCooperativa de eletrificação ruralNão se aplica</t>
  </si>
  <si>
    <t>B2Energia horáriaRuralCooperativa de eletrificação ruralNão se aplicaNão se aplica</t>
  </si>
  <si>
    <t>B2Energia horáriaRuralCooperativa de eletrificação ruralNão se aplicaNão se aplicaEP</t>
  </si>
  <si>
    <t>B2Energia horáriaRuralCooperativa de eletrificação ruralNão se aplicaNão se aplicaEINT</t>
  </si>
  <si>
    <t>B2Energia horáriaRuralCooperativa de eletrificação ruralNão se aplicaNão se aplicaEFP</t>
  </si>
  <si>
    <t>B2Energia convencionalRuralCooperativa de eletrificação rural</t>
  </si>
  <si>
    <t>B2Energia convencionalRuralCooperativa de eletrificação ruralNão se aplica</t>
  </si>
  <si>
    <t>B2Energia convencionalRuralCooperativa de eletrificação ruralNão se aplicaNão se aplica</t>
  </si>
  <si>
    <t>B2Energia convencionalRuralCooperativa de eletrificação ruralNão se aplicaNão se aplicaE</t>
  </si>
  <si>
    <t>B2Energia horáriaRuralServiço público de irrigação rural</t>
  </si>
  <si>
    <t>B2Energia horáriaRuralServiço público de irrigação ruralNão se aplica</t>
  </si>
  <si>
    <t>B2Energia horáriaRuralServiço público de irrigação ruralNão se aplicaNão se aplica</t>
  </si>
  <si>
    <t>B2Energia horáriaRuralServiço público de irrigação ruralNão se aplicaNão se aplicaEP</t>
  </si>
  <si>
    <t>B2Energia horáriaRuralServiço público de irrigação ruralNão se aplicaNão se aplicaEINT</t>
  </si>
  <si>
    <t>B2Energia horáriaRuralServiço público de irrigação ruralNão se aplicaNão se aplicaEFP</t>
  </si>
  <si>
    <t>B2Energia convencionalRuralServiço público de irrigação rural</t>
  </si>
  <si>
    <t>B2Energia convencionalRuralServiço público de irrigação ruralNão se aplica</t>
  </si>
  <si>
    <t>B2Energia convencionalRuralServiço público de irrigação ruralNão se aplicaNão se aplica</t>
  </si>
  <si>
    <t>B2Energia convencionalRuralServiço público de irrigação ruralNão se aplicaNão se aplicaE</t>
  </si>
  <si>
    <t>B2Energia convencional pré-pagamento</t>
  </si>
  <si>
    <t>B2Energia convencional pré-pagamentoRural</t>
  </si>
  <si>
    <t>B2Energia convencional pré-pagamentoRuralNão se aplica</t>
  </si>
  <si>
    <t>B2Energia convencional pré-pagamentoRuralNão se aplicaNão se aplica</t>
  </si>
  <si>
    <t>B2Energia convencional pré-pagamentoRuralNão se aplicaNão se aplicaNão se aplica</t>
  </si>
  <si>
    <t>B2Energia convencional pré-pagamentoRuralNão se aplicaNão se aplicaNão se aplicaE</t>
  </si>
  <si>
    <t>B2Energia convencional pré-pagamentoRuralCooperativa de eletrificação rural</t>
  </si>
  <si>
    <t>B2Energia convencional pré-pagamentoRuralCooperativa de eletrificação ruralNão se aplica</t>
  </si>
  <si>
    <t>B2Energia convencional pré-pagamentoRuralCooperativa de eletrificação ruralNão se aplicaNão se aplica</t>
  </si>
  <si>
    <t>B2Energia convencional pré-pagamentoRuralCooperativa de eletrificação ruralNão se aplicaNão se aplicaE</t>
  </si>
  <si>
    <t>B2Energia convencional pré-pagamentoRuralServiço público de irrigação rural</t>
  </si>
  <si>
    <t>B2Energia convencional pré-pagamentoRuralServiço público de irrigação ruralNão se aplica</t>
  </si>
  <si>
    <t>B2Energia convencional pré-pagamentoRuralServiço público de irrigação ruralNão se aplicaNão se aplica</t>
  </si>
  <si>
    <t>B2Energia convencional pré-pagamentoRuralServiço público de irrigação ruralNão se aplicaNão se aplicaE</t>
  </si>
  <si>
    <t>B3Energia horária</t>
  </si>
  <si>
    <t>B3Energia horáriaNão se aplica</t>
  </si>
  <si>
    <t>B3Energia horáriaNão se aplicaNão se aplica</t>
  </si>
  <si>
    <t>B3Energia horáriaNão se aplicaNão se aplicaNão se aplica</t>
  </si>
  <si>
    <t>B3Energia horáriaNão se aplicaNão se aplicaNão se aplicaNão se aplica</t>
  </si>
  <si>
    <t>B3Energia horáriaNão se aplicaNão se aplicaNão se aplicaNão se aplicaEP</t>
  </si>
  <si>
    <t>B3Energia horáriaNão se aplicaNão se aplicaNão se aplicaNão se aplicaEINT</t>
  </si>
  <si>
    <t>B3Energia horáriaNão se aplicaNão se aplicaNão se aplicaNão se aplicaEFP</t>
  </si>
  <si>
    <t>B3Energia convencional</t>
  </si>
  <si>
    <t>B3Energia convencionalNão se aplica</t>
  </si>
  <si>
    <t>B3Energia convencionalNão se aplicaNão se aplica</t>
  </si>
  <si>
    <t>B3Energia convencionalNão se aplicaNão se aplicaNão se aplica</t>
  </si>
  <si>
    <t>B3Energia convencionalNão se aplicaNão se aplicaNão se aplicaNão se aplica</t>
  </si>
  <si>
    <t>B3Energia convencionalNão se aplicaNão se aplicaNão se aplicaNão se aplicaE</t>
  </si>
  <si>
    <t>B3Energia convencional pré-pagamento</t>
  </si>
  <si>
    <t>B3Energia convencional pré-pagamentoNão se aplica</t>
  </si>
  <si>
    <t>B3Energia convencional pré-pagamentoNão se aplicaNão se aplica</t>
  </si>
  <si>
    <t>B3Energia convencional pré-pagamentoNão se aplicaNão se aplicaNão se aplica</t>
  </si>
  <si>
    <t>B3Energia convencional pré-pagamentoNão se aplicaNão se aplicaNão se aplicaNão se aplica</t>
  </si>
  <si>
    <t>B3Energia convencional pré-pagamentoNão se aplicaNão se aplicaNão se aplicaNão se aplicaE</t>
  </si>
  <si>
    <t>B4Energia convencional</t>
  </si>
  <si>
    <t>B4Energia convencionalIluminação pública</t>
  </si>
  <si>
    <t>B4Energia convencionalIluminação públicaIluminação pública – B4a</t>
  </si>
  <si>
    <t>B4Energia convencionalIluminação públicaIluminação pública – B4aNão se aplica</t>
  </si>
  <si>
    <t>B4Energia convencionalIluminação públicaIluminação pública – B4aNão se aplicaNão se aplica</t>
  </si>
  <si>
    <t>B4Energia convencionalIluminação públicaIluminação pública – B4aNão se aplicaNão se aplicaE</t>
  </si>
  <si>
    <t>B4Energia convencionalIluminação públicaIluminação pública – B4b</t>
  </si>
  <si>
    <t>B4Energia convencionalIluminação públicaIluminação pública – B4bNão se aplica</t>
  </si>
  <si>
    <t>B4Energia convencionalIluminação públicaIluminação pública – B4bNão se aplicaNão se aplica</t>
  </si>
  <si>
    <t>B4Energia convencionalIluminação públicaIluminação pública – B4bNão se aplicaNão se aplicaE</t>
  </si>
  <si>
    <t>CUSTOS REGULATÓRIOS</t>
  </si>
  <si>
    <t>TOTAL RA0/RV</t>
  </si>
  <si>
    <t>TOTAL RA1/RRD</t>
  </si>
  <si>
    <t>TOTAL SUBGRUPO A0</t>
  </si>
  <si>
    <t>TOTAL SUBGRUPO A1</t>
  </si>
  <si>
    <t>TOTAL ANÁLISE A0</t>
  </si>
  <si>
    <t>TOTAL ANÁLISE A1</t>
  </si>
  <si>
    <t>CHAVE</t>
  </si>
  <si>
    <t>VAR. GLOBAL</t>
  </si>
  <si>
    <t>VAR. SELEÇÃO SUBG.</t>
  </si>
  <si>
    <t>VAR. SELEÇÃO MDT</t>
  </si>
  <si>
    <t>FRC</t>
  </si>
  <si>
    <t>OPERAÇÃO E MANUTENÇÃO - O&amp;M (R$)</t>
  </si>
  <si>
    <t>TAXA DE DEPRECIAÇÃO - D (%)</t>
  </si>
  <si>
    <t>PARCELA B REVISÃO (R$)</t>
  </si>
  <si>
    <t>CARGA TRIBUTÁRIA (%)</t>
  </si>
  <si>
    <t>WACC ANTES DOS TRIBUTOS (%)</t>
  </si>
  <si>
    <t>VALOR</t>
  </si>
  <si>
    <t>DESCRIÇÃO PARÂMETROS</t>
  </si>
  <si>
    <t>TUSD FIO B - FORA PONTA (R$/kW)</t>
  </si>
  <si>
    <t>K</t>
  </si>
  <si>
    <t>B4b</t>
  </si>
  <si>
    <t>B4a</t>
  </si>
  <si>
    <t>B2-IRRIGANTE</t>
  </si>
  <si>
    <t>B2-RURAL</t>
  </si>
  <si>
    <t>SUBGRUPO TARIFÁRIO</t>
  </si>
  <si>
    <t>Total TUSD</t>
  </si>
  <si>
    <t>Total TE</t>
  </si>
  <si>
    <t>TUSD_CDE_COVID</t>
  </si>
  <si>
    <t>TUSD_TFSEE</t>
  </si>
  <si>
    <t>TUSD_PeD</t>
  </si>
  <si>
    <t>TUSD_ONS</t>
  </si>
  <si>
    <t>TUSD_CCC</t>
  </si>
  <si>
    <t>TUSD_CDE</t>
  </si>
  <si>
    <t>TUSD_PROINFA</t>
  </si>
  <si>
    <t>Liminar1</t>
  </si>
  <si>
    <t>TUSD_RB</t>
  </si>
  <si>
    <t>TUSD_FR</t>
  </si>
  <si>
    <t>TUSD_CCT</t>
  </si>
  <si>
    <t>TUSD_CCD</t>
  </si>
  <si>
    <t>TUSD_CUSD</t>
  </si>
  <si>
    <t>TUSDG_T</t>
  </si>
  <si>
    <t>TUSDG_ONS</t>
  </si>
  <si>
    <t>TUSD_FioB</t>
  </si>
  <si>
    <t>TUSD Subsidio</t>
  </si>
  <si>
    <t>TUSD BENEFICIO_L14299</t>
  </si>
  <si>
    <t>TUSD Outros</t>
  </si>
  <si>
    <t>TUSD_PT</t>
  </si>
  <si>
    <t>TUSD_Per_RB_D</t>
  </si>
  <si>
    <t>TUSD_PNT</t>
  </si>
  <si>
    <t>TUSD_RI</t>
  </si>
  <si>
    <t>TE_CDE_COVID</t>
  </si>
  <si>
    <t>TE_CDE_ELET</t>
  </si>
  <si>
    <t>TE_PeD</t>
  </si>
  <si>
    <t>TE_ESSERR</t>
  </si>
  <si>
    <t>TE_CFURH</t>
  </si>
  <si>
    <t>TE_ENERGIA</t>
  </si>
  <si>
    <t>TE_TRANSPORTE_ITAIPU</t>
  </si>
  <si>
    <t>TE_TUST_ITAIPU</t>
  </si>
  <si>
    <t>TE_TUST_CI</t>
  </si>
  <si>
    <t>TE Subsidio</t>
  </si>
  <si>
    <t>TE BENEFICIO_L14299</t>
  </si>
  <si>
    <t>TE_Per_RB</t>
  </si>
  <si>
    <t>Baixa Renda</t>
  </si>
  <si>
    <t>Perdas</t>
  </si>
  <si>
    <t xml:space="preserve">TUSD </t>
  </si>
  <si>
    <t xml:space="preserve">TE </t>
  </si>
  <si>
    <t>Tarifas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</si>
</sst>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_);[Red]\(#,##0.00%\)"/>
    <numFmt numFmtId="165" formatCode="#0.00%;[Red]#0.00%"/>
    <numFmt numFmtId="166" formatCode="0.00%_);[Red]\(0.00%\)"/>
    <numFmt numFmtId="167" formatCode="#,##0.00_ ;[Red]\-#,##0.00\ "/>
    <numFmt numFmtId="168" formatCode="#,##0.00;[Red]#,##0.00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8"/>
      <color theme="3" tint="-0.249977111117893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8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6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40" fontId="3" fillId="0" borderId="1" xfId="0" applyNumberFormat="1" applyFon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0" fontId="3" fillId="0" borderId="0" xfId="0" applyFont="1"/>
    <xf numFmtId="4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40" fontId="3" fillId="0" borderId="1" xfId="0" applyNumberFormat="1" applyFont="1" applyBorder="1" applyAlignment="1">
      <alignment horizontal="left" vertical="center" indent="1"/>
    </xf>
    <xf numFmtId="40" fontId="3" fillId="0" borderId="1" xfId="0" quotePrefix="1" applyNumberFormat="1" applyFont="1" applyBorder="1" applyAlignment="1">
      <alignment horizontal="left" vertical="center" indent="1"/>
    </xf>
    <xf numFmtId="0" fontId="3" fillId="0" borderId="1" xfId="0" applyFont="1" applyBorder="1"/>
    <xf numFmtId="40" fontId="3" fillId="0" borderId="1" xfId="0" applyNumberFormat="1" applyFont="1" applyBorder="1"/>
    <xf numFmtId="40" fontId="3" fillId="0" borderId="1" xfId="0" applyNumberFormat="1" applyFont="1" applyBorder="1" applyAlignment="1">
      <alignment horizontal="center" vertical="center"/>
    </xf>
    <xf numFmtId="40" fontId="3" fillId="0" borderId="8" xfId="0" applyNumberFormat="1" applyFont="1" applyBorder="1" applyAlignment="1">
      <alignment horizontal="left" vertical="center"/>
    </xf>
    <xf numFmtId="40" fontId="3" fillId="0" borderId="8" xfId="0" applyNumberFormat="1" applyFont="1" applyBorder="1" applyAlignment="1">
      <alignment vertical="center"/>
    </xf>
    <xf numFmtId="40" fontId="4" fillId="0" borderId="8" xfId="0" applyNumberFormat="1" applyFont="1" applyBorder="1" applyAlignment="1">
      <alignment horizontal="center" vertical="center"/>
    </xf>
    <xf numFmtId="40" fontId="3" fillId="0" borderId="9" xfId="0" applyNumberFormat="1" applyFont="1" applyBorder="1" applyAlignment="1">
      <alignment vertical="center"/>
    </xf>
    <xf numFmtId="40" fontId="4" fillId="0" borderId="9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left" vertical="center"/>
    </xf>
    <xf numFmtId="40" fontId="3" fillId="0" borderId="13" xfId="0" applyNumberFormat="1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0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0" fontId="4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0" fontId="1" fillId="0" borderId="13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0" fontId="3" fillId="0" borderId="0" xfId="0" pivotButton="1" applyFont="1"/>
    <xf numFmtId="40" fontId="3" fillId="0" borderId="0" xfId="0" applyNumberFormat="1" applyFont="1"/>
    <xf numFmtId="166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left" indent="6"/>
    </xf>
    <xf numFmtId="0" fontId="3" fillId="0" borderId="0" xfId="0" applyFont="1" applyAlignment="1">
      <alignment horizontal="left" indent="7"/>
    </xf>
    <xf numFmtId="14" fontId="3" fillId="0" borderId="0" xfId="0" applyNumberFormat="1" applyFont="1" applyAlignment="1">
      <alignment horizontal="left" indent="8"/>
    </xf>
    <xf numFmtId="0" fontId="3" fillId="0" borderId="13" xfId="0" applyFont="1" applyBorder="1"/>
    <xf numFmtId="0" fontId="4" fillId="0" borderId="13" xfId="0" applyFont="1" applyBorder="1"/>
    <xf numFmtId="40" fontId="1" fillId="2" borderId="0" xfId="0" applyNumberFormat="1" applyFont="1" applyFill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/>
    <xf numFmtId="40" fontId="2" fillId="0" borderId="13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1" fillId="2" borderId="13" xfId="0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0" fontId="3" fillId="0" borderId="0" xfId="0" applyNumberFormat="1" applyFont="1"/>
    <xf numFmtId="2" fontId="7" fillId="3" borderId="14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left" vertical="center" indent="1"/>
    </xf>
    <xf numFmtId="4" fontId="7" fillId="4" borderId="0" xfId="0" applyNumberFormat="1" applyFont="1" applyFill="1" applyAlignment="1">
      <alignment vertical="center"/>
    </xf>
    <xf numFmtId="0" fontId="7" fillId="4" borderId="0" xfId="0" applyFont="1" applyFill="1" applyAlignment="1">
      <alignment horizontal="left" vertical="center" indent="1"/>
    </xf>
    <xf numFmtId="10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 indent="1"/>
    </xf>
    <xf numFmtId="10" fontId="7" fillId="4" borderId="0" xfId="0" applyNumberFormat="1" applyFont="1" applyFill="1" applyAlignment="1">
      <alignment vertical="center"/>
    </xf>
    <xf numFmtId="0" fontId="8" fillId="5" borderId="15" xfId="0" applyFont="1" applyFill="1" applyBorder="1" applyAlignment="1">
      <alignment horizontal="center" vertical="center"/>
    </xf>
    <xf numFmtId="40" fontId="7" fillId="3" borderId="14" xfId="0" applyNumberFormat="1" applyFont="1" applyFill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4" fontId="10" fillId="6" borderId="17" xfId="0" applyNumberFormat="1" applyFont="1" applyFill="1" applyBorder="1"/>
    <xf numFmtId="4" fontId="10" fillId="6" borderId="12" xfId="0" applyNumberFormat="1" applyFont="1" applyFill="1" applyBorder="1"/>
    <xf numFmtId="4" fontId="10" fillId="6" borderId="18" xfId="0" applyNumberFormat="1" applyFont="1" applyFill="1" applyBorder="1"/>
    <xf numFmtId="4" fontId="10" fillId="6" borderId="6" xfId="0" applyNumberFormat="1" applyFont="1" applyFill="1" applyBorder="1"/>
    <xf numFmtId="4" fontId="10" fillId="6" borderId="13" xfId="0" applyNumberFormat="1" applyFont="1" applyFill="1" applyBorder="1"/>
    <xf numFmtId="4" fontId="10" fillId="6" borderId="5" xfId="0" applyNumberFormat="1" applyFont="1" applyFill="1" applyBorder="1"/>
    <xf numFmtId="4" fontId="10" fillId="6" borderId="19" xfId="0" applyNumberFormat="1" applyFont="1" applyFill="1" applyBorder="1"/>
    <xf numFmtId="4" fontId="10" fillId="6" borderId="10" xfId="0" applyNumberFormat="1" applyFont="1" applyFill="1" applyBorder="1"/>
    <xf numFmtId="4" fontId="10" fillId="6" borderId="16" xfId="0" applyNumberFormat="1" applyFont="1" applyFill="1" applyBorder="1"/>
    <xf numFmtId="4" fontId="10" fillId="6" borderId="12" xfId="0" applyNumberFormat="1" applyFont="1" applyFill="1" applyBorder="1" applyAlignment="1">
      <alignment horizontal="center"/>
    </xf>
    <xf numFmtId="4" fontId="10" fillId="6" borderId="18" xfId="0" applyNumberFormat="1" applyFont="1" applyFill="1" applyBorder="1" applyAlignment="1">
      <alignment horizontal="center"/>
    </xf>
    <xf numFmtId="40" fontId="3" fillId="0" borderId="1" xfId="0" applyNumberFormat="1" applyFont="1" applyBorder="1" applyAlignment="1">
      <alignment horizontal="left" vertical="center"/>
    </xf>
    <xf numFmtId="40" fontId="0" fillId="0" borderId="1" xfId="0" applyNumberForma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40" fontId="0" fillId="0" borderId="1" xfId="0" applyNumberForma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vertical="center"/>
    </xf>
    <xf numFmtId="40" fontId="3" fillId="0" borderId="8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0" fontId="4" fillId="0" borderId="10" xfId="0" applyNumberFormat="1" applyFont="1" applyBorder="1" applyAlignment="1">
      <alignment horizontal="center" vertical="center"/>
    </xf>
    <xf numFmtId="40" fontId="6" fillId="0" borderId="11" xfId="0" applyNumberFormat="1" applyFont="1" applyBorder="1" applyAlignment="1">
      <alignment horizontal="center" vertical="center"/>
    </xf>
    <xf numFmtId="40" fontId="6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" fontId="10" fillId="6" borderId="13" xfId="0" applyNumberFormat="1" applyFont="1" applyFill="1" applyBorder="1" applyAlignment="1">
      <alignment horizontal="center"/>
    </xf>
    <xf numFmtId="4" fontId="10" fillId="6" borderId="5" xfId="0" applyNumberFormat="1" applyFont="1" applyFill="1" applyBorder="1" applyAlignment="1">
      <alignment horizontal="center"/>
    </xf>
    <xf numFmtId="4" fontId="10" fillId="6" borderId="12" xfId="0" applyNumberFormat="1" applyFont="1" applyFill="1" applyBorder="1" applyAlignment="1">
      <alignment horizontal="center"/>
    </xf>
    <xf numFmtId="4" fontId="10" fillId="6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723"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9" formatCode="#,##0.00_);[Red]\(#,##0.00\)"/>
    </dxf>
    <dxf>
      <numFmt numFmtId="169" formatCode="#,##0.00_);[Red]\(#,##0.00\)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0.00%_);[Red]\(0.00%\)"/>
    </dxf>
    <dxf>
      <numFmt numFmtId="166" formatCode="0.00%_);[Red]\(0.00%\)"/>
    </dxf>
    <dxf>
      <numFmt numFmtId="169" formatCode="#,##0.00_);[Red]\(#,##0.00\)"/>
    </dxf>
    <dxf>
      <numFmt numFmtId="16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TUSD'!$A$13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TUSD'!$B$13:$W$13</c:f>
              <c:numCache>
                <c:formatCode>#,##0.00%_);[Red]\(#,##0.00%\)</c:formatCode>
                <c:ptCount val="22"/>
                <c:pt idx="0">
                  <c:v>-1.1566371710709255E-3</c:v>
                </c:pt>
                <c:pt idx="1">
                  <c:v>1.9574412771214489E-3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0.10672734598481487</c:v>
                </c:pt>
                <c:pt idx="6">
                  <c:v>1.6645329083053412E-2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7.2003158272362075E-2</c:v>
                </c:pt>
                <c:pt idx="13">
                  <c:v>0</c:v>
                </c:pt>
                <c:pt idx="14">
                  <c:v>0</c:v>
                </c:pt>
                <c:pt idx="15">
                  <c:v>0.11760187852482316</c:v>
                </c:pt>
                <c:pt idx="16">
                  <c:v>0</c:v>
                </c:pt>
                <c:pt idx="17">
                  <c:v>0</c:v>
                </c:pt>
                <c:pt idx="18">
                  <c:v>-1.3783892963296603E-2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8-459F-9C8A-42CD3D847AF3}"/>
            </c:ext>
          </c:extLst>
        </c:ser>
        <c:ser>
          <c:idx val="1"/>
          <c:order val="1"/>
          <c:tx>
            <c:strRef>
              <c:f>'RESUMO TUSD'!$A$14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TUSD'!$B$14:$W$14</c:f>
              <c:numCache>
                <c:formatCode>#,##0.00%_);[Red]\(#,##0.00%\)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8-459F-9C8A-42CD3D847AF3}"/>
            </c:ext>
          </c:extLst>
        </c:ser>
        <c:ser>
          <c:idx val="2"/>
          <c:order val="2"/>
          <c:tx>
            <c:strRef>
              <c:f>'RESUMO TUSD'!$A$15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TUSD'!$B$15:$W$15</c:f>
              <c:numCache>
                <c:formatCode>#,##0.00%_);[Red]\(#,##0.00%\)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8-459F-9C8A-42CD3D847AF3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48B8-459F-9C8A-42CD3D847AF3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48B8-459F-9C8A-42CD3D847AF3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48B8-459F-9C8A-42CD3D84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64952"/>
        <c:axId val="750871840"/>
      </c:radarChart>
      <c:catAx>
        <c:axId val="750864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50871840"/>
        <c:crosses val="autoZero"/>
        <c:auto val="1"/>
        <c:lblAlgn val="ctr"/>
        <c:lblOffset val="100"/>
        <c:noMultiLvlLbl val="0"/>
      </c:catAx>
      <c:valAx>
        <c:axId val="750871840"/>
        <c:scaling>
          <c:orientation val="minMax"/>
        </c:scaling>
        <c:delete val="0"/>
        <c:axPos val="l"/>
        <c:majorGridlines/>
        <c:numFmt formatCode="#,##0.00%_);[Red]\(#,##0.00%\)" sourceLinked="1"/>
        <c:majorTickMark val="out"/>
        <c:minorTickMark val="none"/>
        <c:tickLblPos val="nextTo"/>
        <c:crossAx val="750864952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TE'!$A$13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TE'!$B$13:$L$13</c:f>
              <c:numCache>
                <c:formatCode>#,##0.00%_);[Red]\(#,##0.00%\)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-0.20271187171442731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B-4663-BAB8-BE1CE7095C52}"/>
            </c:ext>
          </c:extLst>
        </c:ser>
        <c:ser>
          <c:idx val="1"/>
          <c:order val="1"/>
          <c:tx>
            <c:strRef>
              <c:f>'RESUMO TE'!$A$14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TE'!$B$14:$L$14</c:f>
              <c:numCache>
                <c:formatCode>#,##0.00%_);[Red]\(#,##0.00%\)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B-4663-BAB8-BE1CE7095C52}"/>
            </c:ext>
          </c:extLst>
        </c:ser>
        <c:ser>
          <c:idx val="2"/>
          <c:order val="2"/>
          <c:tx>
            <c:strRef>
              <c:f>'RESUMO TE'!$A$15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TE'!$B$15:$L$15</c:f>
              <c:numCache>
                <c:formatCode>#,##0.00%_);[Red]\(#,##0.00%\)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B-4663-BAB8-BE1CE7095C52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155B-4663-BAB8-BE1CE7095C52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155B-4663-BAB8-BE1CE7095C52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155B-4663-BAB8-BE1CE7095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89688"/>
        <c:axId val="762090672"/>
      </c:radarChart>
      <c:catAx>
        <c:axId val="762089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62090672"/>
        <c:crosses val="autoZero"/>
        <c:auto val="1"/>
        <c:lblAlgn val="ctr"/>
        <c:lblOffset val="100"/>
        <c:noMultiLvlLbl val="0"/>
      </c:catAx>
      <c:valAx>
        <c:axId val="762090672"/>
        <c:scaling>
          <c:orientation val="minMax"/>
        </c:scaling>
        <c:delete val="0"/>
        <c:axPos val="l"/>
        <c:majorGridlines/>
        <c:numFmt formatCode="#,##0.00%_);[Red]\(#,##0.00%\)" sourceLinked="1"/>
        <c:majorTickMark val="out"/>
        <c:minorTickMark val="none"/>
        <c:tickLblPos val="nextTo"/>
        <c:crossAx val="762089688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228601</xdr:colOff>
      <xdr:row>16</xdr:row>
      <xdr:rowOff>0</xdr:rowOff>
    </xdr:from>
    <xdr:to>
      <xdr:col>16</xdr:col>
      <xdr:colOff>495301</xdr:colOff>
      <xdr:row>45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400B13-98F7-9BEA-47D9-8861E1E4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352426</xdr:colOff>
      <xdr:row>16</xdr:row>
      <xdr:rowOff>0</xdr:rowOff>
    </xdr:from>
    <xdr:to>
      <xdr:col>16</xdr:col>
      <xdr:colOff>295276</xdr:colOff>
      <xdr:row>45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8D7091-0A1E-D228-BB40-CA4799E06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son Kuhn Yatsu" refreshedDate="44876.789562268517" createdVersion="5" refreshedVersion="8" minRefreshableVersion="3" recordCount="173" xr:uid="{D29D6E85-495C-4A42-BE8B-877C289450DA}">
  <cacheSource type="worksheet">
    <worksheetSource name="Efeito"/>
  </cacheSource>
  <cacheFields count="36">
    <cacheField name="TipoMercado" numFmtId="0">
      <sharedItems/>
    </cacheField>
    <cacheField name="Subgrupo" numFmtId="0">
      <sharedItems count="4">
        <s v="B1"/>
        <s v="B2"/>
        <s v="B3"/>
        <s v="B4"/>
      </sharedItems>
    </cacheField>
    <cacheField name="Modalidade" numFmtId="0">
      <sharedItems count="1">
        <s v="Convencional"/>
      </sharedItems>
    </cacheField>
    <cacheField name="Classe" numFmtId="0">
      <sharedItems count="7">
        <s v="Residencial"/>
        <s v="Rural"/>
        <s v="Comercial"/>
        <s v="Industrial"/>
        <s v="Poder público"/>
        <s v="Serviço público"/>
        <s v="Iluminação pública"/>
      </sharedItems>
    </cacheField>
    <cacheField name="Subclasse" numFmtId="0">
      <sharedItems count="8">
        <s v="Residencial"/>
        <s v="Residencial baixa renda – faixa 01"/>
        <s v="Residencial baixa renda – faixa 02"/>
        <s v="Residencial baixa renda – faixa 03"/>
        <s v="Residencial baixa renda – faixa 04"/>
        <s v="Não se aplica"/>
        <s v="Água, esgoto e saneamento"/>
        <s v="Iluminação pública – B4a"/>
      </sharedItems>
    </cacheField>
    <cacheField name="Detalhe" numFmtId="0">
      <sharedItems count="1">
        <s v="Não se aplica"/>
      </sharedItems>
    </cacheField>
    <cacheField name="Agente" numFmtId="0">
      <sharedItems count="1">
        <s v="Não se aplica"/>
      </sharedItems>
    </cacheField>
    <cacheField name="Posto" numFmtId="0">
      <sharedItems count="1">
        <s v="Não se aplica"/>
      </sharedItems>
    </cacheField>
    <cacheField name="AnoMes" numFmtId="14">
      <sharedItems containsSemiMixedTypes="0" containsNonDate="0" containsDate="1" containsString="0" minDate="2021-11-01T00:00:00" maxDate="2022-10-02T00:00:00" count="12"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</sharedItems>
    </cacheField>
    <cacheField name="D" numFmtId="40">
      <sharedItems containsSemiMixedTypes="0" containsString="0" containsNumber="1" containsInteger="1" minValue="0" maxValue="0"/>
    </cacheField>
    <cacheField name="Daj" numFmtId="40">
      <sharedItems containsSemiMixedTypes="0" containsString="0" containsNumber="1" containsInteger="1" minValue="0" maxValue="0"/>
    </cacheField>
    <cacheField name="TUSD_E" numFmtId="40">
      <sharedItems containsSemiMixedTypes="0" containsString="0" containsNumber="1" minValue="0.03" maxValue="526.80399999999997"/>
    </cacheField>
    <cacheField name="TUSD_Eaj" numFmtId="40">
      <sharedItems containsSemiMixedTypes="0" containsString="0" containsNumber="1" minValue="0.03" maxValue="526.80399999999997"/>
    </cacheField>
    <cacheField name="TE_E" numFmtId="40">
      <sharedItems containsSemiMixedTypes="0" containsString="0" containsNumber="1" minValue="0.03" maxValue="526.80399999999997"/>
    </cacheField>
    <cacheField name="TE_Eaj" numFmtId="40">
      <sharedItems containsSemiMixedTypes="0" containsString="0" containsNumber="1" minValue="0.03" maxValue="526.80399999999997"/>
    </cacheField>
    <cacheField name="UC" numFmtId="40">
      <sharedItems containsSemiMixedTypes="0" containsString="0" containsNumber="1" containsInteger="1" minValue="1" maxValue="1906"/>
    </cacheField>
    <cacheField name="OPÇÃO" numFmtId="0">
      <sharedItems count="1">
        <s v="CATIVO"/>
      </sharedItems>
    </cacheField>
    <cacheField name="CóD. AUX." numFmtId="0">
      <sharedItems containsSemiMixedTypes="0" containsString="0" containsNumber="1" containsInteger="1" minValue="0" maxValue="0"/>
    </cacheField>
    <cacheField name="CóD. AUX. TUSD R$/kW" numFmtId="40">
      <sharedItems containsSemiMixedTypes="0" containsString="0" containsNumber="1" containsInteger="1" minValue="0" maxValue="0"/>
    </cacheField>
    <cacheField name="CóD. AUX. TUSD R$/MWh" numFmtId="40">
      <sharedItems containsSemiMixedTypes="0" containsString="0" containsNumber="1" containsInteger="1" minValue="3" maxValue="42"/>
    </cacheField>
    <cacheField name="CóD. AUX. TE R$/MWh" numFmtId="40">
      <sharedItems containsSemiMixedTypes="0" containsString="0" containsNumber="1" containsInteger="1" minValue="23" maxValue="62"/>
    </cacheField>
    <cacheField name="TUSD (R$/kW)" numFmtId="40">
      <sharedItems containsSemiMixedTypes="0" containsString="0" containsNumber="1" containsInteger="1" minValue="0" maxValue="0"/>
    </cacheField>
    <cacheField name="TUSD (R$/MWh)" numFmtId="40">
      <sharedItems containsSemiMixedTypes="0" containsString="0" containsNumber="1" minValue="103.03" maxValue="384.85"/>
    </cacheField>
    <cacheField name="TE (R$/MWh)" numFmtId="40">
      <sharedItems containsSemiMixedTypes="0" containsString="0" containsNumber="1" minValue="86.83" maxValue="248.09"/>
    </cacheField>
    <cacheField name="TUSD (R$/kW) NOVA" numFmtId="40">
      <sharedItems containsNonDate="0" containsString="0" containsBlank="1"/>
    </cacheField>
    <cacheField name="TUSD (R$/MWh) NOVA" numFmtId="40">
      <sharedItems containsSemiMixedTypes="0" containsString="0" containsNumber="1" minValue="123.24565526000259" maxValue="486.0916419076849"/>
    </cacheField>
    <cacheField name="TE (R$/MWh) NOVA" numFmtId="40">
      <sharedItems containsSemiMixedTypes="0" containsString="0" containsNumber="1" minValue="67.235243465304549" maxValue="192.10069561515587"/>
    </cacheField>
    <cacheField name="RA0 ou RV - TUSD (kW)" numFmtId="40">
      <sharedItems containsSemiMixedTypes="0" containsString="0" containsNumber="1" containsInteger="1" minValue="0" maxValue="0"/>
    </cacheField>
    <cacheField name="RA0 ou RV - TUSD (MWh)" numFmtId="40">
      <sharedItems containsSemiMixedTypes="0" containsString="0" containsNumber="1" minValue="3.0909" maxValue="178412.71067999999"/>
    </cacheField>
    <cacheField name="RA0 ou RV - TE (MWh)" numFmtId="40">
      <sharedItems containsSemiMixedTypes="0" containsString="0" containsNumber="1" minValue="2.6048999999999998" maxValue="115011.84927999999"/>
    </cacheField>
    <cacheField name="RA1 ou RRD - TUSD (kW)" numFmtId="40">
      <sharedItems containsSemiMixedTypes="0" containsString="0" containsNumber="1" containsInteger="1" minValue="0" maxValue="0"/>
    </cacheField>
    <cacheField name="RA1 ou RRD - TUSD (MWh)" numFmtId="40">
      <sharedItems containsSemiMixedTypes="0" containsString="0" containsNumber="1" minValue="3.6973696578000776" maxValue="240710.52004412387"/>
    </cacheField>
    <cacheField name="RA1 ou RRD - TE (MWh)" numFmtId="40">
      <sharedItems containsSemiMixedTypes="0" containsString="0" containsNumber="1" minValue="2.0170573039591364" maxValue="95127.449961675782"/>
    </cacheField>
    <cacheField name="Variação TUSD" numFmtId="0" formula="IF(('RA0 ou RV - TUSD (MWh)'+'RA0 ou RV - TUSD (kW)') &lt;&gt;0,('RA1 ou RRD - TUSD (MWh)'+'RA1 ou RRD - TUSD (kW)') /('RA0 ou RV - TUSD (MWh)'+'RA0 ou RV - TUSD (kW)') -1,0)" databaseField="0"/>
    <cacheField name="Variação TE" numFmtId="0" formula="IF('RA0 ou RV - TE (MWh)'&lt;&gt;0,'RA1 ou RRD - TE (MWh)'/'RA0 ou RV - TE (MWh)'-1,0)" databaseField="0"/>
    <cacheField name="Variação" numFmtId="0" formula="IF(('RA0 ou RV - TUSD (MWh)'+'RA0 ou RV - TUSD (kW)'+'RA0 ou RV - TE (MWh)') &lt;&gt;0,('RA1 ou RRD - TUSD (MWh)'+'RA1 ou RRD - TUSD (kW)'+'RA1 ou RRD - TE (MWh)') /('RA0 ou RV - TUSD (MWh)'+'RA0 ou RV - TUSD (kW)'+'RA0 ou RV - TE (MWh)') -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son Kuhn Yatsu" refreshedDate="44876.789596875002" createdVersion="5" refreshedVersion="8" minRefreshableVersion="3" recordCount="78" xr:uid="{CCC979BE-35C4-41DE-AE6D-44157617036B}">
  <cacheSource type="worksheet">
    <worksheetSource name="Subsidio"/>
  </cacheSource>
  <cacheFields count="34">
    <cacheField name="TipoMercado" numFmtId="0">
      <sharedItems/>
    </cacheField>
    <cacheField name="Subgrupo" numFmtId="0">
      <sharedItems count="3">
        <s v="B1"/>
        <s v="B2"/>
        <s v="B3"/>
      </sharedItems>
    </cacheField>
    <cacheField name="Modalidade" numFmtId="0">
      <sharedItems count="1">
        <s v="Convencional"/>
      </sharedItems>
    </cacheField>
    <cacheField name="Classe" numFmtId="0">
      <sharedItems count="3">
        <s v="Residencial"/>
        <s v="Rural"/>
        <s v="Serviço público"/>
      </sharedItems>
    </cacheField>
    <cacheField name="Subclasse" numFmtId="0">
      <sharedItems count="7">
        <s v="Residencial"/>
        <s v="Residencial baixa renda – faixa 01"/>
        <s v="Residencial baixa renda – faixa 02"/>
        <s v="Residencial baixa renda – faixa 03"/>
        <s v="Residencial baixa renda – faixa 04"/>
        <s v="Não se aplica"/>
        <s v="Água, esgoto e saneamento"/>
      </sharedItems>
    </cacheField>
    <cacheField name="Detalhe" numFmtId="0">
      <sharedItems count="1">
        <s v="Não se aplica"/>
      </sharedItems>
    </cacheField>
    <cacheField name="Agente" numFmtId="0">
      <sharedItems count="1">
        <s v="Não se aplica"/>
      </sharedItems>
    </cacheField>
    <cacheField name="Posto" numFmtId="0">
      <sharedItems count="1">
        <s v="Não se aplica"/>
      </sharedItems>
    </cacheField>
    <cacheField name="AnoMes" numFmtId="14">
      <sharedItems containsSemiMixedTypes="0" containsNonDate="0" containsDate="1" containsString="0" minDate="2021-11-01T00:00:00" maxDate="2022-10-02T00:00:00" count="12">
        <d v="2021-11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1-12-01T00:00:00"/>
      </sharedItems>
    </cacheField>
    <cacheField name="D" numFmtId="40">
      <sharedItems containsSemiMixedTypes="0" containsString="0" containsNumber="1" containsInteger="1" minValue="0" maxValue="0"/>
    </cacheField>
    <cacheField name="Daj" numFmtId="40">
      <sharedItems containsSemiMixedTypes="0" containsString="0" containsNumber="1" containsInteger="1" minValue="0" maxValue="0"/>
    </cacheField>
    <cacheField name="TUSD_E" numFmtId="40">
      <sharedItems containsSemiMixedTypes="0" containsString="0" containsNumber="1" minValue="0.03" maxValue="526.80399999999997"/>
    </cacheField>
    <cacheField name="TUSD_Eaj" numFmtId="40">
      <sharedItems containsSemiMixedTypes="0" containsString="0" containsNumber="1" minValue="0.03" maxValue="526.80399999999997"/>
    </cacheField>
    <cacheField name="TE_E" numFmtId="40">
      <sharedItems containsSemiMixedTypes="0" containsString="0" containsNumber="1" minValue="0.03" maxValue="526.80399999999997"/>
    </cacheField>
    <cacheField name="TE_Eaj" numFmtId="40">
      <sharedItems containsSemiMixedTypes="0" containsString="0" containsNumber="1" minValue="0.03" maxValue="526.80399999999997"/>
    </cacheField>
    <cacheField name="UC" numFmtId="40">
      <sharedItems containsSemiMixedTypes="0" containsString="0" containsNumber="1" containsInteger="1" minValue="1" maxValue="1839"/>
    </cacheField>
    <cacheField name="OPÇÃO" numFmtId="0">
      <sharedItems/>
    </cacheField>
    <cacheField name="CóD. AUX." numFmtId="0">
      <sharedItems containsSemiMixedTypes="0" containsString="0" containsNumber="1" containsInteger="1" minValue="0" maxValue="0"/>
    </cacheField>
    <cacheField name="CóD. AUX. TUSD R$/kW" numFmtId="0">
      <sharedItems containsSemiMixedTypes="0" containsString="0" containsNumber="1" containsInteger="1" minValue="0" maxValue="0"/>
    </cacheField>
    <cacheField name="CóD. AUX. TUSD R$/MWh" numFmtId="0">
      <sharedItems containsSemiMixedTypes="0" containsString="0" containsNumber="1" containsInteger="1" minValue="3" maxValue="42"/>
    </cacheField>
    <cacheField name="CóD. AUX. TE R$/MWh" numFmtId="0">
      <sharedItems containsSemiMixedTypes="0" containsString="0" containsNumber="1" containsInteger="1" minValue="23" maxValue="62"/>
    </cacheField>
    <cacheField name="TUSD (R$/kW)" numFmtId="40">
      <sharedItems containsSemiMixedTypes="0" containsString="0" containsNumber="1" containsInteger="1" minValue="0" maxValue="0"/>
    </cacheField>
    <cacheField name="TUSD (R$/MWh)" numFmtId="40">
      <sharedItems containsSemiMixedTypes="0" containsString="0" containsNumber="1" minValue="103.03" maxValue="384.85"/>
    </cacheField>
    <cacheField name="TE (R$/MWh)" numFmtId="40">
      <sharedItems containsSemiMixedTypes="0" containsString="0" containsNumber="1" minValue="86.83" maxValue="248.09"/>
    </cacheField>
    <cacheField name="TUSD (R$/kW) NOVA" numFmtId="40">
      <sharedItems containsNonDate="0" containsString="0" containsBlank="1"/>
    </cacheField>
    <cacheField name="TUSD (R$/MWh) NOVA" numFmtId="40">
      <sharedItems containsSemiMixedTypes="0" containsString="0" containsNumber="1" minValue="123.24565526000259" maxValue="486.0916419076849"/>
    </cacheField>
    <cacheField name="TE (R$/MWh) NOVA" numFmtId="40">
      <sharedItems containsSemiMixedTypes="0" containsString="0" containsNumber="1" minValue="67.235243465304549" maxValue="192.10069561515587"/>
    </cacheField>
    <cacheField name="SUBSIDIO kW - TV" numFmtId="40">
      <sharedItems containsSemiMixedTypes="0" containsString="0" containsNumber="1" containsInteger="1" minValue="0" maxValue="0"/>
    </cacheField>
    <cacheField name="SUBSIDIO MWh - TV" numFmtId="40">
      <sharedItems containsSemiMixedTypes="0" containsString="0" containsNumber="1" minValue="0" maxValue="40010.763800000022"/>
    </cacheField>
    <cacheField name="SUBSIDIO kW - TN" numFmtId="40">
      <sharedItems containsSemiMixedTypes="0" containsString="0" containsNumber="1" containsInteger="1" minValue="0" maxValue="0"/>
    </cacheField>
    <cacheField name="SUBSIDIO MWh - TN" numFmtId="40">
      <sharedItems containsSemiMixedTypes="0" containsString="0" containsNumber="1" minValue="-7.6335027188179085E-13" maxValue="21436.466170582924"/>
    </cacheField>
    <cacheField name="TIPO" numFmtId="0">
      <sharedItems containsBlank="1" count="4">
        <m/>
        <s v="SUBSIDIO BAIXA RENDA"/>
        <s v="SUBSIDIO RURAL"/>
        <s v="SUBSIDIO ÁGUA, ESGOTO E SANEAMENTO"/>
      </sharedItems>
    </cacheField>
    <cacheField name="TOTAL TV" numFmtId="0" formula="'SUBSIDIO kW - TV'+'SUBSIDIO MWh - TV'" databaseField="0"/>
    <cacheField name="TOTAL TN" numFmtId="0" formula="'SUBSIDIO kW - TN'+'SUBSIDIO MWh - T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s v="Regular"/>
    <x v="0"/>
    <x v="0"/>
    <x v="0"/>
    <x v="0"/>
    <x v="0"/>
    <x v="0"/>
    <x v="0"/>
    <x v="0"/>
    <n v="0"/>
    <n v="0"/>
    <n v="260.51100000000002"/>
    <n v="260.51100000000002"/>
    <n v="260.51100000000002"/>
    <n v="260.51100000000002"/>
    <n v="1839"/>
    <x v="0"/>
    <n v="0"/>
    <n v="0"/>
    <n v="21"/>
    <n v="28"/>
    <n v="0"/>
    <n v="384.85"/>
    <n v="248.09"/>
    <m/>
    <n v="486.0916419076849"/>
    <n v="192.10069561515587"/>
    <n v="0"/>
    <n v="100257.65835000001"/>
    <n v="64630.17399000001"/>
    <n v="0"/>
    <n v="126632.21972501291"/>
    <n v="50044.344315399874"/>
  </r>
  <r>
    <s v="Sistema de Compensação"/>
    <x v="0"/>
    <x v="0"/>
    <x v="0"/>
    <x v="0"/>
    <x v="0"/>
    <x v="0"/>
    <x v="0"/>
    <x v="0"/>
    <n v="0"/>
    <n v="0"/>
    <n v="6.6980000000000004"/>
    <n v="6.6980000000000004"/>
    <n v="6.6980000000000004"/>
    <n v="6.6980000000000004"/>
    <n v="25"/>
    <x v="0"/>
    <n v="0"/>
    <n v="0"/>
    <n v="21"/>
    <n v="28"/>
    <n v="0"/>
    <n v="384.85"/>
    <n v="248.09"/>
    <m/>
    <n v="486.0916419076849"/>
    <n v="192.10069561515587"/>
    <n v="0"/>
    <n v="2577.7253000000005"/>
    <n v="1661.7068200000001"/>
    <n v="0"/>
    <n v="3255.8418174976737"/>
    <n v="1286.690459230314"/>
  </r>
  <r>
    <s v="Regular"/>
    <x v="0"/>
    <x v="0"/>
    <x v="0"/>
    <x v="0"/>
    <x v="0"/>
    <x v="0"/>
    <x v="0"/>
    <x v="1"/>
    <n v="0"/>
    <n v="0"/>
    <n v="252.10300000000001"/>
    <n v="252.10300000000001"/>
    <n v="252.10300000000001"/>
    <n v="252.10300000000001"/>
    <n v="1851"/>
    <x v="0"/>
    <n v="0"/>
    <n v="0"/>
    <n v="21"/>
    <n v="28"/>
    <n v="0"/>
    <n v="384.85"/>
    <n v="248.09"/>
    <m/>
    <n v="486.0916419076849"/>
    <n v="192.10069561515587"/>
    <n v="0"/>
    <n v="97021.839550000004"/>
    <n v="62544.233270000004"/>
    <n v="0"/>
    <n v="122545.16119985309"/>
    <n v="48429.161666667642"/>
  </r>
  <r>
    <s v="Sistema de Compensação"/>
    <x v="0"/>
    <x v="0"/>
    <x v="0"/>
    <x v="0"/>
    <x v="0"/>
    <x v="0"/>
    <x v="0"/>
    <x v="1"/>
    <n v="0"/>
    <n v="0"/>
    <n v="7.2949999999999999"/>
    <n v="7.2949999999999999"/>
    <n v="7.2949999999999999"/>
    <n v="7.2949999999999999"/>
    <n v="25"/>
    <x v="0"/>
    <n v="0"/>
    <n v="0"/>
    <n v="21"/>
    <n v="28"/>
    <n v="0"/>
    <n v="384.85"/>
    <n v="248.09"/>
    <m/>
    <n v="486.0916419076849"/>
    <n v="192.10069561515587"/>
    <n v="0"/>
    <n v="2807.4807500000002"/>
    <n v="1809.81655"/>
    <n v="0"/>
    <n v="3546.0385277165615"/>
    <n v="1401.374574512562"/>
  </r>
  <r>
    <s v="Regular"/>
    <x v="0"/>
    <x v="0"/>
    <x v="0"/>
    <x v="0"/>
    <x v="0"/>
    <x v="0"/>
    <x v="0"/>
    <x v="2"/>
    <n v="0"/>
    <n v="0"/>
    <n v="281.71699999999998"/>
    <n v="281.71699999999998"/>
    <n v="281.71699999999998"/>
    <n v="281.71699999999998"/>
    <n v="1869"/>
    <x v="0"/>
    <n v="0"/>
    <n v="0"/>
    <n v="21"/>
    <n v="28"/>
    <n v="0"/>
    <n v="384.85"/>
    <n v="248.09"/>
    <m/>
    <n v="486.0916419076849"/>
    <n v="192.10069561515587"/>
    <n v="0"/>
    <n v="108418.78745"/>
    <n v="69891.170530000003"/>
    <n v="0"/>
    <n v="136940.27908330725"/>
    <n v="54118.031666614865"/>
  </r>
  <r>
    <s v="Sistema de Compensação"/>
    <x v="0"/>
    <x v="0"/>
    <x v="0"/>
    <x v="0"/>
    <x v="0"/>
    <x v="0"/>
    <x v="0"/>
    <x v="2"/>
    <n v="0"/>
    <n v="0"/>
    <n v="9.2750000000000004"/>
    <n v="9.2750000000000004"/>
    <n v="9.2750000000000004"/>
    <n v="9.2750000000000004"/>
    <n v="25"/>
    <x v="0"/>
    <n v="0"/>
    <n v="0"/>
    <n v="21"/>
    <n v="28"/>
    <n v="0"/>
    <n v="384.85"/>
    <n v="248.09"/>
    <m/>
    <n v="486.0916419076849"/>
    <n v="192.10069561515587"/>
    <n v="0"/>
    <n v="3569.4837500000003"/>
    <n v="2301.0347500000003"/>
    <n v="0"/>
    <n v="4508.4999786937778"/>
    <n v="1781.7339518305707"/>
  </r>
  <r>
    <s v="Regular"/>
    <x v="0"/>
    <x v="0"/>
    <x v="0"/>
    <x v="0"/>
    <x v="0"/>
    <x v="0"/>
    <x v="0"/>
    <x v="3"/>
    <n v="0"/>
    <n v="0"/>
    <n v="300.13299999999998"/>
    <n v="300.13299999999998"/>
    <n v="300.13299999999998"/>
    <n v="300.13299999999998"/>
    <n v="1868"/>
    <x v="0"/>
    <n v="0"/>
    <n v="0"/>
    <n v="21"/>
    <n v="28"/>
    <n v="0"/>
    <n v="384.85"/>
    <n v="248.09"/>
    <m/>
    <n v="486.0916419076849"/>
    <n v="192.10069561515587"/>
    <n v="0"/>
    <n v="115506.18505"/>
    <n v="74459.995970000004"/>
    <n v="0"/>
    <n v="145892.14276067918"/>
    <n v="57655.758077063576"/>
  </r>
  <r>
    <s v="Sistema de Compensação"/>
    <x v="0"/>
    <x v="0"/>
    <x v="0"/>
    <x v="0"/>
    <x v="0"/>
    <x v="0"/>
    <x v="0"/>
    <x v="3"/>
    <n v="0"/>
    <n v="0"/>
    <n v="9.7720000000000002"/>
    <n v="9.7720000000000002"/>
    <n v="9.7720000000000002"/>
    <n v="9.7720000000000002"/>
    <n v="28"/>
    <x v="0"/>
    <n v="0"/>
    <n v="0"/>
    <n v="21"/>
    <n v="28"/>
    <n v="0"/>
    <n v="384.85"/>
    <n v="248.09"/>
    <m/>
    <n v="486.0916419076849"/>
    <n v="192.10069561515587"/>
    <n v="0"/>
    <n v="3760.7542000000003"/>
    <n v="2424.3354800000002"/>
    <n v="0"/>
    <n v="4750.0875247218974"/>
    <n v="1877.2079975513032"/>
  </r>
  <r>
    <s v="Regular"/>
    <x v="0"/>
    <x v="0"/>
    <x v="0"/>
    <x v="0"/>
    <x v="0"/>
    <x v="0"/>
    <x v="0"/>
    <x v="4"/>
    <n v="0"/>
    <n v="0"/>
    <n v="288.79300000000001"/>
    <n v="288.79300000000001"/>
    <n v="288.79300000000001"/>
    <n v="288.79300000000001"/>
    <n v="1866"/>
    <x v="0"/>
    <n v="0"/>
    <n v="0"/>
    <n v="21"/>
    <n v="28"/>
    <n v="0"/>
    <n v="384.85"/>
    <n v="248.09"/>
    <m/>
    <n v="486.0916419076849"/>
    <n v="192.10069561515587"/>
    <n v="0"/>
    <n v="111141.98605000001"/>
    <n v="71646.655370000008"/>
    <n v="0"/>
    <n v="140379.86354144604"/>
    <n v="55477.336188787711"/>
  </r>
  <r>
    <s v="Sistema de Compensação"/>
    <x v="0"/>
    <x v="0"/>
    <x v="0"/>
    <x v="0"/>
    <x v="0"/>
    <x v="0"/>
    <x v="0"/>
    <x v="4"/>
    <n v="0"/>
    <n v="0"/>
    <n v="9.8160000000000007"/>
    <n v="9.8160000000000007"/>
    <n v="9.8160000000000007"/>
    <n v="9.8160000000000007"/>
    <n v="28"/>
    <x v="0"/>
    <n v="0"/>
    <n v="0"/>
    <n v="21"/>
    <n v="28"/>
    <n v="0"/>
    <n v="384.85"/>
    <n v="248.09"/>
    <m/>
    <n v="486.0916419076849"/>
    <n v="192.10069561515587"/>
    <n v="0"/>
    <n v="3777.6876000000007"/>
    <n v="2435.25144"/>
    <n v="0"/>
    <n v="4771.4755569658355"/>
    <n v="1885.6604281583702"/>
  </r>
  <r>
    <s v="Regular"/>
    <x v="0"/>
    <x v="0"/>
    <x v="0"/>
    <x v="0"/>
    <x v="0"/>
    <x v="0"/>
    <x v="0"/>
    <x v="5"/>
    <n v="0"/>
    <n v="0"/>
    <n v="271.27999999999997"/>
    <n v="271.27999999999997"/>
    <n v="271.27999999999997"/>
    <n v="271.27999999999997"/>
    <n v="1864"/>
    <x v="0"/>
    <n v="0"/>
    <n v="0"/>
    <n v="21"/>
    <n v="28"/>
    <n v="0"/>
    <n v="384.85"/>
    <n v="248.09"/>
    <m/>
    <n v="486.0916419076849"/>
    <n v="192.10069561515587"/>
    <n v="0"/>
    <n v="104402.10799999999"/>
    <n v="67301.855199999991"/>
    <n v="0"/>
    <n v="131866.94061671675"/>
    <n v="52113.076706479478"/>
  </r>
  <r>
    <s v="Sistema de Compensação"/>
    <x v="0"/>
    <x v="0"/>
    <x v="0"/>
    <x v="0"/>
    <x v="0"/>
    <x v="0"/>
    <x v="0"/>
    <x v="5"/>
    <n v="0"/>
    <n v="0"/>
    <n v="7.37"/>
    <n v="7.37"/>
    <n v="7.37"/>
    <n v="7.37"/>
    <n v="30"/>
    <x v="0"/>
    <n v="0"/>
    <n v="0"/>
    <n v="21"/>
    <n v="28"/>
    <n v="0"/>
    <n v="384.85"/>
    <n v="248.09"/>
    <m/>
    <n v="486.0916419076849"/>
    <n v="192.10069561515587"/>
    <n v="0"/>
    <n v="2836.3445000000002"/>
    <n v="1828.4233000000002"/>
    <n v="0"/>
    <n v="3582.4954008596378"/>
    <n v="1415.7821266836988"/>
  </r>
  <r>
    <s v="Regular"/>
    <x v="0"/>
    <x v="0"/>
    <x v="0"/>
    <x v="0"/>
    <x v="0"/>
    <x v="0"/>
    <x v="0"/>
    <x v="6"/>
    <n v="0"/>
    <n v="0"/>
    <n v="263.76100000000002"/>
    <n v="263.76100000000002"/>
    <n v="263.76100000000002"/>
    <n v="263.76100000000002"/>
    <n v="1864"/>
    <x v="0"/>
    <n v="0"/>
    <n v="0"/>
    <n v="21"/>
    <n v="28"/>
    <n v="0"/>
    <n v="384.85"/>
    <n v="248.09"/>
    <m/>
    <n v="486.0916419076849"/>
    <n v="192.10069561515587"/>
    <n v="0"/>
    <n v="101508.42085000001"/>
    <n v="65436.466490000006"/>
    <n v="0"/>
    <n v="128212.0175612129"/>
    <n v="50668.671576149136"/>
  </r>
  <r>
    <s v="Sistema de Compensação"/>
    <x v="0"/>
    <x v="0"/>
    <x v="0"/>
    <x v="0"/>
    <x v="0"/>
    <x v="0"/>
    <x v="0"/>
    <x v="6"/>
    <n v="0"/>
    <n v="0"/>
    <n v="9.7769999999999992"/>
    <n v="9.7769999999999992"/>
    <n v="9.7769999999999992"/>
    <n v="9.7769999999999992"/>
    <n v="33"/>
    <x v="0"/>
    <n v="0"/>
    <n v="0"/>
    <n v="21"/>
    <n v="28"/>
    <n v="0"/>
    <n v="384.85"/>
    <n v="248.09"/>
    <m/>
    <n v="486.0916419076849"/>
    <n v="192.10069561515587"/>
    <n v="0"/>
    <n v="3762.6784499999999"/>
    <n v="2425.57593"/>
    <n v="0"/>
    <n v="4752.5179829314347"/>
    <n v="1878.1685010293788"/>
  </r>
  <r>
    <s v="Regular"/>
    <x v="0"/>
    <x v="0"/>
    <x v="0"/>
    <x v="0"/>
    <x v="0"/>
    <x v="0"/>
    <x v="0"/>
    <x v="7"/>
    <n v="0"/>
    <n v="0"/>
    <n v="286.87900000000002"/>
    <n v="286.87900000000002"/>
    <n v="286.87900000000002"/>
    <n v="286.87900000000002"/>
    <n v="1871"/>
    <x v="0"/>
    <n v="0"/>
    <n v="0"/>
    <n v="21"/>
    <n v="28"/>
    <n v="0"/>
    <n v="384.85"/>
    <n v="248.09"/>
    <m/>
    <n v="486.0916419076849"/>
    <n v="192.10069561515587"/>
    <n v="0"/>
    <n v="110405.38315000001"/>
    <n v="71171.81111000001"/>
    <n v="0"/>
    <n v="139449.48413883476"/>
    <n v="55109.655457380308"/>
  </r>
  <r>
    <s v="Sistema de Compensação"/>
    <x v="0"/>
    <x v="0"/>
    <x v="0"/>
    <x v="0"/>
    <x v="0"/>
    <x v="0"/>
    <x v="0"/>
    <x v="7"/>
    <n v="0"/>
    <n v="0"/>
    <n v="8.5860000000000003"/>
    <n v="8.5860000000000003"/>
    <n v="8.5860000000000003"/>
    <n v="8.5860000000000003"/>
    <n v="34"/>
    <x v="0"/>
    <n v="0"/>
    <n v="0"/>
    <n v="21"/>
    <n v="28"/>
    <n v="0"/>
    <n v="384.85"/>
    <n v="248.09"/>
    <m/>
    <n v="486.0916419076849"/>
    <n v="192.10069561515587"/>
    <n v="0"/>
    <n v="3304.3221000000003"/>
    <n v="2130.1007400000003"/>
    <n v="0"/>
    <n v="4173.5828374193825"/>
    <n v="1649.3765725517283"/>
  </r>
  <r>
    <s v="Regular"/>
    <x v="0"/>
    <x v="0"/>
    <x v="0"/>
    <x v="0"/>
    <x v="0"/>
    <x v="0"/>
    <x v="0"/>
    <x v="8"/>
    <n v="0"/>
    <n v="0"/>
    <n v="285.80099999999999"/>
    <n v="285.80099999999999"/>
    <n v="285.80099999999999"/>
    <n v="285.80099999999999"/>
    <n v="1881"/>
    <x v="0"/>
    <n v="0"/>
    <n v="0"/>
    <n v="21"/>
    <n v="28"/>
    <n v="0"/>
    <n v="384.85"/>
    <n v="248.09"/>
    <m/>
    <n v="486.0916419076849"/>
    <n v="192.10069561515587"/>
    <n v="0"/>
    <n v="109990.51485000001"/>
    <n v="70904.370089999997"/>
    <n v="0"/>
    <n v="138925.47734885826"/>
    <n v="54902.570907507157"/>
  </r>
  <r>
    <s v="Sistema de Compensação"/>
    <x v="0"/>
    <x v="0"/>
    <x v="0"/>
    <x v="0"/>
    <x v="0"/>
    <x v="0"/>
    <x v="0"/>
    <x v="8"/>
    <n v="0"/>
    <n v="0"/>
    <n v="7.8710000000000004"/>
    <n v="7.8710000000000004"/>
    <n v="7.8710000000000004"/>
    <n v="7.8710000000000004"/>
    <n v="36"/>
    <x v="0"/>
    <n v="0"/>
    <n v="0"/>
    <n v="21"/>
    <n v="28"/>
    <n v="0"/>
    <n v="384.85"/>
    <n v="248.09"/>
    <m/>
    <n v="486.0916419076849"/>
    <n v="192.10069561515587"/>
    <n v="0"/>
    <n v="3029.1543500000002"/>
    <n v="1952.71639"/>
    <n v="0"/>
    <n v="3826.0273134553881"/>
    <n v="1512.024575186892"/>
  </r>
  <r>
    <s v="Regular"/>
    <x v="0"/>
    <x v="0"/>
    <x v="0"/>
    <x v="0"/>
    <x v="0"/>
    <x v="0"/>
    <x v="0"/>
    <x v="9"/>
    <n v="0"/>
    <n v="0"/>
    <n v="280.48599999999999"/>
    <n v="280.48599999999999"/>
    <n v="280.48599999999999"/>
    <n v="280.48599999999999"/>
    <n v="1892"/>
    <x v="0"/>
    <n v="0"/>
    <n v="0"/>
    <n v="21"/>
    <n v="28"/>
    <n v="0"/>
    <n v="384.85"/>
    <n v="248.09"/>
    <m/>
    <n v="486.0916419076849"/>
    <n v="192.10069561515587"/>
    <n v="0"/>
    <n v="107945.0371"/>
    <n v="69585.771739999996"/>
    <n v="0"/>
    <n v="136341.90027211892"/>
    <n v="53881.555710312605"/>
  </r>
  <r>
    <s v="Sistema de Compensação"/>
    <x v="0"/>
    <x v="0"/>
    <x v="0"/>
    <x v="0"/>
    <x v="0"/>
    <x v="0"/>
    <x v="0"/>
    <x v="9"/>
    <n v="0"/>
    <n v="0"/>
    <n v="8.5500000000000007"/>
    <n v="8.5500000000000007"/>
    <n v="8.5500000000000007"/>
    <n v="8.5500000000000007"/>
    <n v="39"/>
    <x v="0"/>
    <n v="0"/>
    <n v="0"/>
    <n v="21"/>
    <n v="28"/>
    <n v="0"/>
    <n v="384.85"/>
    <n v="248.09"/>
    <m/>
    <n v="486.0916419076849"/>
    <n v="192.10069561515587"/>
    <n v="0"/>
    <n v="3290.4675000000007"/>
    <n v="2121.1695000000004"/>
    <n v="0"/>
    <n v="4156.083538310706"/>
    <n v="1642.4609475095829"/>
  </r>
  <r>
    <s v="Regular"/>
    <x v="0"/>
    <x v="0"/>
    <x v="0"/>
    <x v="0"/>
    <x v="0"/>
    <x v="0"/>
    <x v="0"/>
    <x v="10"/>
    <n v="0"/>
    <n v="0"/>
    <n v="294.01400000000001"/>
    <n v="294.01400000000001"/>
    <n v="294.01400000000001"/>
    <n v="294.01400000000001"/>
    <n v="1897"/>
    <x v="0"/>
    <n v="0"/>
    <n v="0"/>
    <n v="21"/>
    <n v="28"/>
    <n v="0"/>
    <n v="384.85"/>
    <n v="248.09"/>
    <m/>
    <n v="486.0916419076849"/>
    <n v="192.10069561515587"/>
    <n v="0"/>
    <n v="113151.28790000001"/>
    <n v="72941.933260000005"/>
    <n v="0"/>
    <n v="142917.74800384606"/>
    <n v="56480.293920594442"/>
  </r>
  <r>
    <s v="Sistema de Compensação"/>
    <x v="0"/>
    <x v="0"/>
    <x v="0"/>
    <x v="0"/>
    <x v="0"/>
    <x v="0"/>
    <x v="0"/>
    <x v="10"/>
    <n v="0"/>
    <n v="0"/>
    <n v="10.83"/>
    <n v="10.83"/>
    <n v="10.83"/>
    <n v="10.83"/>
    <n v="40"/>
    <x v="0"/>
    <n v="0"/>
    <n v="0"/>
    <n v="21"/>
    <n v="28"/>
    <n v="0"/>
    <n v="384.85"/>
    <n v="248.09"/>
    <m/>
    <n v="486.0916419076849"/>
    <n v="192.10069561515587"/>
    <n v="0"/>
    <n v="4167.9255000000003"/>
    <n v="2686.8146999999999"/>
    <n v="0"/>
    <n v="5264.3724818602277"/>
    <n v="2080.450533512138"/>
  </r>
  <r>
    <s v="Regular"/>
    <x v="0"/>
    <x v="0"/>
    <x v="0"/>
    <x v="0"/>
    <x v="0"/>
    <x v="0"/>
    <x v="0"/>
    <x v="11"/>
    <n v="0"/>
    <n v="0"/>
    <n v="282.69299999999998"/>
    <n v="282.69299999999998"/>
    <n v="282.69299999999998"/>
    <n v="282.69299999999998"/>
    <n v="1906"/>
    <x v="0"/>
    <n v="0"/>
    <n v="0"/>
    <n v="21"/>
    <n v="28"/>
    <n v="0"/>
    <n v="384.85"/>
    <n v="248.09"/>
    <m/>
    <n v="486.0916419076849"/>
    <n v="192.10069561515587"/>
    <n v="0"/>
    <n v="108794.40105"/>
    <n v="70133.306369999991"/>
    <n v="0"/>
    <n v="137414.70452580915"/>
    <n v="54305.521945535256"/>
  </r>
  <r>
    <s v="Sistema de Compensação"/>
    <x v="0"/>
    <x v="0"/>
    <x v="0"/>
    <x v="0"/>
    <x v="0"/>
    <x v="0"/>
    <x v="0"/>
    <x v="11"/>
    <n v="0"/>
    <n v="0"/>
    <n v="10.340999999999999"/>
    <n v="10.340999999999999"/>
    <n v="10.340999999999999"/>
    <n v="10.340999999999999"/>
    <n v="41"/>
    <x v="0"/>
    <n v="0"/>
    <n v="0"/>
    <n v="21"/>
    <n v="28"/>
    <n v="0"/>
    <n v="384.85"/>
    <n v="248.09"/>
    <m/>
    <n v="486.0916419076849"/>
    <n v="192.10069561515587"/>
    <n v="0"/>
    <n v="3979.7338500000001"/>
    <n v="2565.4986899999999"/>
    <n v="0"/>
    <n v="5026.6736689673689"/>
    <n v="1986.5132933563268"/>
  </r>
  <r>
    <s v="Regular"/>
    <x v="0"/>
    <x v="0"/>
    <x v="0"/>
    <x v="1"/>
    <x v="0"/>
    <x v="0"/>
    <x v="0"/>
    <x v="2"/>
    <n v="0"/>
    <n v="0"/>
    <n v="0.03"/>
    <n v="0.03"/>
    <n v="0.03"/>
    <n v="0.03"/>
    <n v="1"/>
    <x v="0"/>
    <n v="0"/>
    <n v="0"/>
    <n v="3"/>
    <n v="30"/>
    <n v="0"/>
    <n v="103.03"/>
    <n v="86.83"/>
    <m/>
    <n v="123.24565526000259"/>
    <n v="67.235243465304549"/>
    <n v="0"/>
    <n v="3.0909"/>
    <n v="2.6048999999999998"/>
    <n v="0"/>
    <n v="3.6973696578000776"/>
    <n v="2.0170573039591364"/>
  </r>
  <r>
    <s v="Regular"/>
    <x v="0"/>
    <x v="0"/>
    <x v="0"/>
    <x v="1"/>
    <x v="0"/>
    <x v="0"/>
    <x v="0"/>
    <x v="3"/>
    <n v="0"/>
    <n v="0"/>
    <n v="0.03"/>
    <n v="0.03"/>
    <n v="0.03"/>
    <n v="0.03"/>
    <n v="1"/>
    <x v="0"/>
    <n v="0"/>
    <n v="0"/>
    <n v="3"/>
    <n v="30"/>
    <n v="0"/>
    <n v="103.03"/>
    <n v="86.83"/>
    <m/>
    <n v="123.24565526000259"/>
    <n v="67.235243465304549"/>
    <n v="0"/>
    <n v="3.0909"/>
    <n v="2.6048999999999998"/>
    <n v="0"/>
    <n v="3.6973696578000776"/>
    <n v="2.0170573039591364"/>
  </r>
  <r>
    <s v="Regular"/>
    <x v="0"/>
    <x v="0"/>
    <x v="0"/>
    <x v="1"/>
    <x v="0"/>
    <x v="0"/>
    <x v="0"/>
    <x v="4"/>
    <n v="0"/>
    <n v="0"/>
    <n v="0.06"/>
    <n v="0.06"/>
    <n v="0.06"/>
    <n v="0.06"/>
    <n v="2"/>
    <x v="0"/>
    <n v="0"/>
    <n v="0"/>
    <n v="3"/>
    <n v="30"/>
    <n v="0"/>
    <n v="103.03"/>
    <n v="86.83"/>
    <m/>
    <n v="123.24565526000259"/>
    <n v="67.235243465304549"/>
    <n v="0"/>
    <n v="6.1818"/>
    <n v="5.2097999999999995"/>
    <n v="0"/>
    <n v="7.3947393156001553"/>
    <n v="4.0341146079182728"/>
  </r>
  <r>
    <s v="Regular"/>
    <x v="0"/>
    <x v="0"/>
    <x v="0"/>
    <x v="1"/>
    <x v="0"/>
    <x v="0"/>
    <x v="0"/>
    <x v="5"/>
    <n v="0"/>
    <n v="0"/>
    <n v="0.03"/>
    <n v="0.03"/>
    <n v="0.03"/>
    <n v="0.03"/>
    <n v="1"/>
    <x v="0"/>
    <n v="0"/>
    <n v="0"/>
    <n v="3"/>
    <n v="30"/>
    <n v="0"/>
    <n v="103.03"/>
    <n v="86.83"/>
    <m/>
    <n v="123.24565526000259"/>
    <n v="67.235243465304549"/>
    <n v="0"/>
    <n v="3.0909"/>
    <n v="2.6048999999999998"/>
    <n v="0"/>
    <n v="3.6973696578000776"/>
    <n v="2.0170573039591364"/>
  </r>
  <r>
    <s v="Regular"/>
    <x v="0"/>
    <x v="0"/>
    <x v="0"/>
    <x v="1"/>
    <x v="0"/>
    <x v="0"/>
    <x v="0"/>
    <x v="6"/>
    <n v="0"/>
    <n v="0"/>
    <n v="0.03"/>
    <n v="0.03"/>
    <n v="0.03"/>
    <n v="0.03"/>
    <n v="1"/>
    <x v="0"/>
    <n v="0"/>
    <n v="0"/>
    <n v="3"/>
    <n v="30"/>
    <n v="0"/>
    <n v="103.03"/>
    <n v="86.83"/>
    <m/>
    <n v="123.24565526000259"/>
    <n v="67.235243465304549"/>
    <n v="0"/>
    <n v="3.0909"/>
    <n v="2.6048999999999998"/>
    <n v="0"/>
    <n v="3.6973696578000776"/>
    <n v="2.0170573039591364"/>
  </r>
  <r>
    <s v="Regular"/>
    <x v="0"/>
    <x v="0"/>
    <x v="0"/>
    <x v="1"/>
    <x v="0"/>
    <x v="0"/>
    <x v="0"/>
    <x v="7"/>
    <n v="0"/>
    <n v="0"/>
    <n v="0.09"/>
    <n v="0.09"/>
    <n v="0.09"/>
    <n v="0.09"/>
    <n v="3"/>
    <x v="0"/>
    <n v="0"/>
    <n v="0"/>
    <n v="3"/>
    <n v="30"/>
    <n v="0"/>
    <n v="103.03"/>
    <n v="86.83"/>
    <m/>
    <n v="123.24565526000259"/>
    <n v="67.235243465304549"/>
    <n v="0"/>
    <n v="9.2727000000000004"/>
    <n v="7.8146999999999993"/>
    <n v="0"/>
    <n v="11.092108973400233"/>
    <n v="6.0511719118774092"/>
  </r>
  <r>
    <s v="Regular"/>
    <x v="0"/>
    <x v="0"/>
    <x v="0"/>
    <x v="1"/>
    <x v="0"/>
    <x v="0"/>
    <x v="0"/>
    <x v="8"/>
    <n v="0"/>
    <n v="0"/>
    <n v="0.12"/>
    <n v="0.12"/>
    <n v="0.12"/>
    <n v="0.12"/>
    <n v="4"/>
    <x v="0"/>
    <n v="0"/>
    <n v="0"/>
    <n v="3"/>
    <n v="30"/>
    <n v="0"/>
    <n v="103.03"/>
    <n v="86.83"/>
    <m/>
    <n v="123.24565526000259"/>
    <n v="67.235243465304549"/>
    <n v="0"/>
    <n v="12.3636"/>
    <n v="10.419599999999999"/>
    <n v="0"/>
    <n v="14.789478631200311"/>
    <n v="8.0682292158365456"/>
  </r>
  <r>
    <s v="Regular"/>
    <x v="0"/>
    <x v="0"/>
    <x v="0"/>
    <x v="1"/>
    <x v="0"/>
    <x v="0"/>
    <x v="0"/>
    <x v="9"/>
    <n v="0"/>
    <n v="0"/>
    <n v="0.03"/>
    <n v="0.03"/>
    <n v="0.03"/>
    <n v="0.03"/>
    <n v="1"/>
    <x v="0"/>
    <n v="0"/>
    <n v="0"/>
    <n v="3"/>
    <n v="30"/>
    <n v="0"/>
    <n v="103.03"/>
    <n v="86.83"/>
    <m/>
    <n v="123.24565526000259"/>
    <n v="67.235243465304549"/>
    <n v="0"/>
    <n v="3.0909"/>
    <n v="2.6048999999999998"/>
    <n v="0"/>
    <n v="3.6973696578000776"/>
    <n v="2.0170573039591364"/>
  </r>
  <r>
    <s v="Regular"/>
    <x v="0"/>
    <x v="0"/>
    <x v="0"/>
    <x v="1"/>
    <x v="0"/>
    <x v="0"/>
    <x v="0"/>
    <x v="10"/>
    <n v="0"/>
    <n v="0"/>
    <n v="0.03"/>
    <n v="0.03"/>
    <n v="0.03"/>
    <n v="0.03"/>
    <n v="1"/>
    <x v="0"/>
    <n v="0"/>
    <n v="0"/>
    <n v="3"/>
    <n v="30"/>
    <n v="0"/>
    <n v="103.03"/>
    <n v="86.83"/>
    <m/>
    <n v="123.24565526000259"/>
    <n v="67.235243465304549"/>
    <n v="0"/>
    <n v="3.0909"/>
    <n v="2.6048999999999998"/>
    <n v="0"/>
    <n v="3.6973696578000776"/>
    <n v="2.0170573039591364"/>
  </r>
  <r>
    <s v="Regular"/>
    <x v="0"/>
    <x v="0"/>
    <x v="0"/>
    <x v="1"/>
    <x v="0"/>
    <x v="0"/>
    <x v="0"/>
    <x v="11"/>
    <n v="0"/>
    <n v="0"/>
    <n v="0.03"/>
    <n v="0.03"/>
    <n v="0.03"/>
    <n v="0.03"/>
    <n v="1"/>
    <x v="0"/>
    <n v="0"/>
    <n v="0"/>
    <n v="3"/>
    <n v="30"/>
    <n v="0"/>
    <n v="103.03"/>
    <n v="86.83"/>
    <m/>
    <n v="123.24565526000259"/>
    <n v="67.235243465304549"/>
    <n v="0"/>
    <n v="3.0909"/>
    <n v="2.6048999999999998"/>
    <n v="0"/>
    <n v="3.6973696578000776"/>
    <n v="2.0170573039591364"/>
  </r>
  <r>
    <s v="Regular"/>
    <x v="0"/>
    <x v="0"/>
    <x v="0"/>
    <x v="2"/>
    <x v="0"/>
    <x v="0"/>
    <x v="0"/>
    <x v="3"/>
    <n v="0"/>
    <n v="0"/>
    <n v="8.7999999999999995E-2"/>
    <n v="8.7999999999999995E-2"/>
    <n v="8.7999999999999995E-2"/>
    <n v="8.7999999999999995E-2"/>
    <n v="1"/>
    <x v="0"/>
    <n v="0"/>
    <n v="0"/>
    <n v="38"/>
    <n v="32"/>
    <n v="0"/>
    <n v="176.61"/>
    <n v="148.85"/>
    <m/>
    <n v="211.27826616000445"/>
    <n v="115.26041736909352"/>
    <n v="0"/>
    <n v="15.541679999999999"/>
    <n v="13.098799999999999"/>
    <n v="0"/>
    <n v="18.592487422080392"/>
    <n v="10.142916728480229"/>
  </r>
  <r>
    <s v="Regular"/>
    <x v="0"/>
    <x v="0"/>
    <x v="0"/>
    <x v="2"/>
    <x v="0"/>
    <x v="0"/>
    <x v="0"/>
    <x v="4"/>
    <n v="0"/>
    <n v="0"/>
    <n v="0.24"/>
    <n v="0.24"/>
    <n v="0.24"/>
    <n v="0.24"/>
    <n v="4"/>
    <x v="0"/>
    <n v="0"/>
    <n v="0"/>
    <n v="38"/>
    <n v="32"/>
    <n v="0"/>
    <n v="176.61"/>
    <n v="148.85"/>
    <m/>
    <n v="211.27826616000445"/>
    <n v="115.26041736909352"/>
    <n v="0"/>
    <n v="42.386400000000002"/>
    <n v="35.723999999999997"/>
    <n v="0"/>
    <n v="50.706783878401069"/>
    <n v="27.662500168582444"/>
  </r>
  <r>
    <s v="Regular"/>
    <x v="0"/>
    <x v="0"/>
    <x v="0"/>
    <x v="2"/>
    <x v="0"/>
    <x v="0"/>
    <x v="0"/>
    <x v="5"/>
    <n v="0"/>
    <n v="0"/>
    <n v="0.81100000000000005"/>
    <n v="0.81100000000000005"/>
    <n v="0.81100000000000005"/>
    <n v="0.81100000000000005"/>
    <n v="13"/>
    <x v="0"/>
    <n v="0"/>
    <n v="0"/>
    <n v="38"/>
    <n v="32"/>
    <n v="0"/>
    <n v="176.61"/>
    <n v="148.85"/>
    <m/>
    <n v="211.27826616000445"/>
    <n v="115.26041736909352"/>
    <n v="0"/>
    <n v="143.23071000000002"/>
    <n v="120.71735000000001"/>
    <n v="0"/>
    <n v="171.34667385576361"/>
    <n v="93.476198486334852"/>
  </r>
  <r>
    <s v="Regular"/>
    <x v="0"/>
    <x v="0"/>
    <x v="0"/>
    <x v="2"/>
    <x v="0"/>
    <x v="0"/>
    <x v="0"/>
    <x v="6"/>
    <n v="0"/>
    <n v="0"/>
    <n v="0.97299999999999998"/>
    <n v="0.97299999999999998"/>
    <n v="0.97299999999999998"/>
    <n v="0.97299999999999998"/>
    <n v="17"/>
    <x v="0"/>
    <n v="0"/>
    <n v="0"/>
    <n v="38"/>
    <n v="32"/>
    <n v="0"/>
    <n v="176.61"/>
    <n v="148.85"/>
    <m/>
    <n v="211.27826616000445"/>
    <n v="115.26041736909352"/>
    <n v="0"/>
    <n v="171.84153000000001"/>
    <n v="144.83105"/>
    <n v="0"/>
    <n v="205.57375297368432"/>
    <n v="112.14838610012799"/>
  </r>
  <r>
    <s v="Regular"/>
    <x v="0"/>
    <x v="0"/>
    <x v="0"/>
    <x v="2"/>
    <x v="0"/>
    <x v="0"/>
    <x v="0"/>
    <x v="7"/>
    <n v="0"/>
    <n v="0"/>
    <n v="1.0389999999999999"/>
    <n v="1.0389999999999999"/>
    <n v="1.0389999999999999"/>
    <n v="1.0389999999999999"/>
    <n v="16"/>
    <x v="0"/>
    <n v="0"/>
    <n v="0"/>
    <n v="38"/>
    <n v="32"/>
    <n v="0"/>
    <n v="176.61"/>
    <n v="148.85"/>
    <m/>
    <n v="211.27826616000445"/>
    <n v="115.26041736909352"/>
    <n v="0"/>
    <n v="183.49779000000001"/>
    <n v="154.65514999999999"/>
    <n v="0"/>
    <n v="219.51811854024461"/>
    <n v="119.75557364648816"/>
  </r>
  <r>
    <s v="Regular"/>
    <x v="0"/>
    <x v="0"/>
    <x v="0"/>
    <x v="2"/>
    <x v="0"/>
    <x v="0"/>
    <x v="0"/>
    <x v="8"/>
    <n v="0"/>
    <n v="0"/>
    <n v="1.1870000000000001"/>
    <n v="1.1870000000000001"/>
    <n v="1.1870000000000001"/>
    <n v="1.1870000000000001"/>
    <n v="18"/>
    <x v="0"/>
    <n v="0"/>
    <n v="0"/>
    <n v="38"/>
    <n v="32"/>
    <n v="0"/>
    <n v="176.61"/>
    <n v="148.85"/>
    <m/>
    <n v="211.27826616000445"/>
    <n v="115.26041736909352"/>
    <n v="0"/>
    <n v="209.63607000000002"/>
    <n v="176.68495000000001"/>
    <n v="0"/>
    <n v="250.7873019319253"/>
    <n v="136.81411541711401"/>
  </r>
  <r>
    <s v="Regular"/>
    <x v="0"/>
    <x v="0"/>
    <x v="0"/>
    <x v="2"/>
    <x v="0"/>
    <x v="0"/>
    <x v="0"/>
    <x v="9"/>
    <n v="0"/>
    <n v="0"/>
    <n v="1.0620000000000001"/>
    <n v="1.0620000000000001"/>
    <n v="1.0620000000000001"/>
    <n v="1.0620000000000001"/>
    <n v="15"/>
    <x v="0"/>
    <n v="0"/>
    <n v="0"/>
    <n v="38"/>
    <n v="32"/>
    <n v="0"/>
    <n v="176.61"/>
    <n v="148.85"/>
    <m/>
    <n v="211.27826616000445"/>
    <n v="115.26041736909352"/>
    <n v="0"/>
    <n v="187.55982000000003"/>
    <n v="158.0787"/>
    <n v="0"/>
    <n v="224.37751866192474"/>
    <n v="122.40656324597732"/>
  </r>
  <r>
    <s v="Regular"/>
    <x v="0"/>
    <x v="0"/>
    <x v="0"/>
    <x v="2"/>
    <x v="0"/>
    <x v="0"/>
    <x v="0"/>
    <x v="10"/>
    <n v="0"/>
    <n v="0"/>
    <n v="0.99"/>
    <n v="0.99"/>
    <n v="0.99"/>
    <n v="0.99"/>
    <n v="14"/>
    <x v="0"/>
    <n v="0"/>
    <n v="0"/>
    <n v="38"/>
    <n v="32"/>
    <n v="0"/>
    <n v="176.61"/>
    <n v="148.85"/>
    <m/>
    <n v="211.27826616000445"/>
    <n v="115.26041736909352"/>
    <n v="0"/>
    <n v="174.84390000000002"/>
    <n v="147.36150000000001"/>
    <n v="0"/>
    <n v="209.1654834984044"/>
    <n v="114.10781319540258"/>
  </r>
  <r>
    <s v="Regular"/>
    <x v="0"/>
    <x v="0"/>
    <x v="0"/>
    <x v="2"/>
    <x v="0"/>
    <x v="0"/>
    <x v="0"/>
    <x v="11"/>
    <n v="0"/>
    <n v="0"/>
    <n v="0.92300000000000004"/>
    <n v="0.92300000000000004"/>
    <n v="0.92300000000000004"/>
    <n v="0.92300000000000004"/>
    <n v="13"/>
    <x v="0"/>
    <n v="0"/>
    <n v="0"/>
    <n v="38"/>
    <n v="32"/>
    <n v="0"/>
    <n v="176.61"/>
    <n v="148.85"/>
    <m/>
    <n v="211.27826616000445"/>
    <n v="115.26041736909352"/>
    <n v="0"/>
    <n v="163.01103000000003"/>
    <n v="137.38855000000001"/>
    <n v="0"/>
    <n v="195.00983966568413"/>
    <n v="106.38536523167332"/>
  </r>
  <r>
    <s v="Regular"/>
    <x v="0"/>
    <x v="0"/>
    <x v="0"/>
    <x v="3"/>
    <x v="0"/>
    <x v="0"/>
    <x v="0"/>
    <x v="1"/>
    <n v="0"/>
    <n v="0"/>
    <n v="0.55300000000000005"/>
    <n v="0.55300000000000005"/>
    <n v="0.55300000000000005"/>
    <n v="0.55300000000000005"/>
    <n v="3"/>
    <x v="0"/>
    <n v="0"/>
    <n v="0"/>
    <n v="5"/>
    <n v="23"/>
    <n v="0"/>
    <n v="264.92"/>
    <n v="223.28"/>
    <m/>
    <n v="316.91739924000672"/>
    <n v="172.89062605364029"/>
    <n v="0"/>
    <n v="146.50076000000001"/>
    <n v="123.47384000000001"/>
    <n v="0"/>
    <n v="175.25532177972372"/>
    <n v="95.608516207663087"/>
  </r>
  <r>
    <s v="Regular"/>
    <x v="0"/>
    <x v="0"/>
    <x v="0"/>
    <x v="3"/>
    <x v="0"/>
    <x v="0"/>
    <x v="0"/>
    <x v="2"/>
    <n v="0"/>
    <n v="0"/>
    <n v="0.495"/>
    <n v="0.495"/>
    <n v="0.495"/>
    <n v="0.495"/>
    <n v="3"/>
    <x v="0"/>
    <n v="0"/>
    <n v="0"/>
    <n v="5"/>
    <n v="23"/>
    <n v="0"/>
    <n v="264.92"/>
    <n v="223.28"/>
    <m/>
    <n v="316.91739924000672"/>
    <n v="172.89062605364029"/>
    <n v="0"/>
    <n v="131.1354"/>
    <n v="110.5236"/>
    <n v="0"/>
    <n v="156.87411262380331"/>
    <n v="85.580859896551942"/>
  </r>
  <r>
    <s v="Regular"/>
    <x v="0"/>
    <x v="0"/>
    <x v="0"/>
    <x v="3"/>
    <x v="0"/>
    <x v="0"/>
    <x v="0"/>
    <x v="3"/>
    <n v="0"/>
    <n v="0"/>
    <n v="0.49099999999999999"/>
    <n v="0.49099999999999999"/>
    <n v="0.49099999999999999"/>
    <n v="0.49099999999999999"/>
    <n v="3"/>
    <x v="0"/>
    <n v="0"/>
    <n v="0"/>
    <n v="5"/>
    <n v="23"/>
    <n v="0"/>
    <n v="264.92"/>
    <n v="223.28"/>
    <m/>
    <n v="316.91739924000672"/>
    <n v="172.89062605364029"/>
    <n v="0"/>
    <n v="130.07572000000002"/>
    <n v="109.63048000000001"/>
    <n v="0"/>
    <n v="155.60644302684329"/>
    <n v="84.889297392337383"/>
  </r>
  <r>
    <s v="Regular"/>
    <x v="0"/>
    <x v="0"/>
    <x v="0"/>
    <x v="3"/>
    <x v="0"/>
    <x v="0"/>
    <x v="0"/>
    <x v="4"/>
    <n v="0"/>
    <n v="0"/>
    <n v="3.1960000000000002"/>
    <n v="3.1960000000000002"/>
    <n v="3.1960000000000002"/>
    <n v="3.1960000000000002"/>
    <n v="19"/>
    <x v="0"/>
    <n v="0"/>
    <n v="0"/>
    <n v="5"/>
    <n v="23"/>
    <n v="0"/>
    <n v="264.92"/>
    <n v="223.28"/>
    <m/>
    <n v="316.91739924000672"/>
    <n v="172.89062605364029"/>
    <n v="0"/>
    <n v="846.68432000000007"/>
    <n v="713.60288000000003"/>
    <n v="0"/>
    <n v="1012.8680079710615"/>
    <n v="552.55844086743434"/>
  </r>
  <r>
    <s v="Regular"/>
    <x v="0"/>
    <x v="0"/>
    <x v="0"/>
    <x v="3"/>
    <x v="0"/>
    <x v="0"/>
    <x v="0"/>
    <x v="5"/>
    <n v="0"/>
    <n v="0"/>
    <n v="10.061"/>
    <n v="10.061"/>
    <n v="10.061"/>
    <n v="10.061"/>
    <n v="62"/>
    <x v="0"/>
    <n v="0"/>
    <n v="0"/>
    <n v="5"/>
    <n v="23"/>
    <n v="0"/>
    <n v="264.92"/>
    <n v="223.28"/>
    <m/>
    <n v="316.91739924000672"/>
    <n v="172.89062605364029"/>
    <n v="0"/>
    <n v="2665.3601200000003"/>
    <n v="2246.4200799999999"/>
    <n v="0"/>
    <n v="3188.5059537537077"/>
    <n v="1739.452588725675"/>
  </r>
  <r>
    <s v="Regular"/>
    <x v="0"/>
    <x v="0"/>
    <x v="0"/>
    <x v="3"/>
    <x v="0"/>
    <x v="0"/>
    <x v="0"/>
    <x v="6"/>
    <n v="0"/>
    <n v="0"/>
    <n v="11.696"/>
    <n v="11.696"/>
    <n v="11.696"/>
    <n v="11.696"/>
    <n v="73"/>
    <x v="0"/>
    <n v="0"/>
    <n v="0"/>
    <n v="5"/>
    <n v="23"/>
    <n v="0"/>
    <n v="264.92"/>
    <n v="223.28"/>
    <m/>
    <n v="316.91739924000672"/>
    <n v="172.89062605364029"/>
    <n v="0"/>
    <n v="3098.50432"/>
    <n v="2611.48288"/>
    <n v="0"/>
    <n v="3706.6659015111186"/>
    <n v="2022.1287623233768"/>
  </r>
  <r>
    <s v="Regular"/>
    <x v="0"/>
    <x v="0"/>
    <x v="0"/>
    <x v="3"/>
    <x v="0"/>
    <x v="0"/>
    <x v="0"/>
    <x v="7"/>
    <n v="0"/>
    <n v="0"/>
    <n v="10.15"/>
    <n v="10.15"/>
    <n v="10.15"/>
    <n v="10.15"/>
    <n v="62"/>
    <x v="0"/>
    <n v="0"/>
    <n v="0"/>
    <n v="5"/>
    <n v="23"/>
    <n v="0"/>
    <n v="264.92"/>
    <n v="223.28"/>
    <m/>
    <n v="316.91739924000672"/>
    <n v="172.89062605364029"/>
    <n v="0"/>
    <n v="2688.9380000000001"/>
    <n v="2266.2919999999999"/>
    <n v="0"/>
    <n v="3216.7116022860682"/>
    <n v="1754.839854444449"/>
  </r>
  <r>
    <s v="Regular"/>
    <x v="0"/>
    <x v="0"/>
    <x v="0"/>
    <x v="3"/>
    <x v="0"/>
    <x v="0"/>
    <x v="0"/>
    <x v="8"/>
    <n v="0"/>
    <n v="0"/>
    <n v="10.058"/>
    <n v="10.058"/>
    <n v="10.058"/>
    <n v="10.058"/>
    <n v="61"/>
    <x v="0"/>
    <n v="0"/>
    <n v="0"/>
    <n v="5"/>
    <n v="23"/>
    <n v="0"/>
    <n v="264.92"/>
    <n v="223.28"/>
    <m/>
    <n v="316.91739924000672"/>
    <n v="172.89062605364029"/>
    <n v="0"/>
    <n v="2664.5653600000001"/>
    <n v="2245.7502399999998"/>
    <n v="0"/>
    <n v="3187.5552015559874"/>
    <n v="1738.933916847514"/>
  </r>
  <r>
    <s v="Regular"/>
    <x v="0"/>
    <x v="0"/>
    <x v="0"/>
    <x v="3"/>
    <x v="0"/>
    <x v="0"/>
    <x v="0"/>
    <x v="9"/>
    <n v="0"/>
    <n v="0"/>
    <n v="9.83"/>
    <n v="9.83"/>
    <n v="9.83"/>
    <n v="9.83"/>
    <n v="60"/>
    <x v="0"/>
    <n v="0"/>
    <n v="0"/>
    <n v="5"/>
    <n v="23"/>
    <n v="0"/>
    <n v="264.92"/>
    <n v="223.28"/>
    <m/>
    <n v="316.91739924000672"/>
    <n v="172.89062605364029"/>
    <n v="0"/>
    <n v="2604.1636000000003"/>
    <n v="2194.8424"/>
    <n v="0"/>
    <n v="3115.2980345292663"/>
    <n v="1699.514854107284"/>
  </r>
  <r>
    <s v="Regular"/>
    <x v="0"/>
    <x v="0"/>
    <x v="0"/>
    <x v="3"/>
    <x v="0"/>
    <x v="0"/>
    <x v="0"/>
    <x v="10"/>
    <n v="0"/>
    <n v="0"/>
    <n v="11.214"/>
    <n v="11.214"/>
    <n v="11.214"/>
    <n v="11.214"/>
    <n v="69"/>
    <x v="0"/>
    <n v="0"/>
    <n v="0"/>
    <n v="5"/>
    <n v="23"/>
    <n v="0"/>
    <n v="264.92"/>
    <n v="223.28"/>
    <m/>
    <n v="316.91739924000672"/>
    <n v="172.89062605364029"/>
    <n v="0"/>
    <n v="2970.8128800000004"/>
    <n v="2503.8619200000003"/>
    <n v="0"/>
    <n v="3553.9117150774355"/>
    <n v="1938.7954805655222"/>
  </r>
  <r>
    <s v="Regular"/>
    <x v="0"/>
    <x v="0"/>
    <x v="0"/>
    <x v="3"/>
    <x v="0"/>
    <x v="0"/>
    <x v="0"/>
    <x v="11"/>
    <n v="0"/>
    <n v="0"/>
    <n v="9.5440000000000005"/>
    <n v="9.5440000000000005"/>
    <n v="9.5440000000000005"/>
    <n v="9.5440000000000005"/>
    <n v="61"/>
    <x v="0"/>
    <n v="0"/>
    <n v="0"/>
    <n v="5"/>
    <n v="23"/>
    <n v="0"/>
    <n v="264.92"/>
    <n v="223.28"/>
    <m/>
    <n v="316.91739924000672"/>
    <n v="172.89062605364029"/>
    <n v="0"/>
    <n v="2528.3964800000003"/>
    <n v="2130.98432"/>
    <n v="0"/>
    <n v="3024.6596583466244"/>
    <n v="1650.068135055943"/>
  </r>
  <r>
    <s v="Regular"/>
    <x v="0"/>
    <x v="0"/>
    <x v="0"/>
    <x v="4"/>
    <x v="0"/>
    <x v="0"/>
    <x v="0"/>
    <x v="1"/>
    <n v="0"/>
    <n v="0"/>
    <n v="1.401"/>
    <n v="1.401"/>
    <n v="1.401"/>
    <n v="1.401"/>
    <n v="4"/>
    <x v="0"/>
    <n v="0"/>
    <n v="0"/>
    <n v="37"/>
    <n v="62"/>
    <n v="0"/>
    <n v="294.36"/>
    <n v="248.09"/>
    <m/>
    <n v="352.13044360000742"/>
    <n v="192.10069561515587"/>
    <n v="0"/>
    <n v="412.39836000000003"/>
    <n v="347.57409000000001"/>
    <n v="0"/>
    <n v="493.33475148361043"/>
    <n v="269.13307455683338"/>
  </r>
  <r>
    <s v="Regular"/>
    <x v="0"/>
    <x v="0"/>
    <x v="0"/>
    <x v="4"/>
    <x v="0"/>
    <x v="0"/>
    <x v="0"/>
    <x v="2"/>
    <n v="0"/>
    <n v="0"/>
    <n v="1.125"/>
    <n v="1.125"/>
    <n v="1.125"/>
    <n v="1.125"/>
    <n v="3"/>
    <x v="0"/>
    <n v="0"/>
    <n v="0"/>
    <n v="37"/>
    <n v="62"/>
    <n v="0"/>
    <n v="294.36"/>
    <n v="248.09"/>
    <m/>
    <n v="352.13044360000742"/>
    <n v="192.10069561515587"/>
    <n v="0"/>
    <n v="331.15500000000003"/>
    <n v="279.10124999999999"/>
    <n v="0"/>
    <n v="396.14674905000834"/>
    <n v="216.11328256705036"/>
  </r>
  <r>
    <s v="Regular"/>
    <x v="0"/>
    <x v="0"/>
    <x v="0"/>
    <x v="4"/>
    <x v="0"/>
    <x v="0"/>
    <x v="0"/>
    <x v="3"/>
    <n v="0"/>
    <n v="0"/>
    <n v="1.113"/>
    <n v="1.113"/>
    <n v="1.113"/>
    <n v="1.113"/>
    <n v="3"/>
    <x v="0"/>
    <n v="0"/>
    <n v="0"/>
    <n v="37"/>
    <n v="62"/>
    <n v="0"/>
    <n v="294.36"/>
    <n v="248.09"/>
    <m/>
    <n v="352.13044360000742"/>
    <n v="192.10069561515587"/>
    <n v="0"/>
    <n v="327.62268"/>
    <n v="276.12416999999999"/>
    <n v="0"/>
    <n v="391.92118372680824"/>
    <n v="213.80807421966847"/>
  </r>
  <r>
    <s v="Regular"/>
    <x v="0"/>
    <x v="0"/>
    <x v="0"/>
    <x v="4"/>
    <x v="0"/>
    <x v="0"/>
    <x v="0"/>
    <x v="4"/>
    <n v="0"/>
    <n v="0"/>
    <n v="4.9450000000000003"/>
    <n v="4.9450000000000003"/>
    <n v="4.9450000000000003"/>
    <n v="4.9450000000000003"/>
    <n v="16"/>
    <x v="0"/>
    <n v="0"/>
    <n v="0"/>
    <n v="37"/>
    <n v="62"/>
    <n v="0"/>
    <n v="294.36"/>
    <n v="248.09"/>
    <m/>
    <n v="352.13044360000742"/>
    <n v="192.10069561515587"/>
    <n v="0"/>
    <n v="1455.6102000000001"/>
    <n v="1226.8050500000002"/>
    <n v="0"/>
    <n v="1741.2850436020369"/>
    <n v="949.9379398169458"/>
  </r>
  <r>
    <s v="Regular"/>
    <x v="0"/>
    <x v="0"/>
    <x v="0"/>
    <x v="4"/>
    <x v="0"/>
    <x v="0"/>
    <x v="0"/>
    <x v="5"/>
    <n v="0"/>
    <n v="0"/>
    <n v="7.3570000000000002"/>
    <n v="7.3570000000000002"/>
    <n v="7.3570000000000002"/>
    <n v="7.3570000000000002"/>
    <n v="24"/>
    <x v="0"/>
    <n v="0"/>
    <n v="0"/>
    <n v="37"/>
    <n v="62"/>
    <n v="0"/>
    <n v="294.36"/>
    <n v="248.09"/>
    <m/>
    <n v="352.13044360000742"/>
    <n v="192.10069561515587"/>
    <n v="0"/>
    <n v="2165.6065200000003"/>
    <n v="1825.19813"/>
    <n v="0"/>
    <n v="2590.6236735652546"/>
    <n v="1413.2848176407017"/>
  </r>
  <r>
    <s v="Regular"/>
    <x v="0"/>
    <x v="0"/>
    <x v="0"/>
    <x v="4"/>
    <x v="0"/>
    <x v="0"/>
    <x v="0"/>
    <x v="6"/>
    <n v="0"/>
    <n v="0"/>
    <n v="6.5419999999999998"/>
    <n v="6.5419999999999998"/>
    <n v="6.5419999999999998"/>
    <n v="6.5419999999999998"/>
    <n v="22"/>
    <x v="0"/>
    <n v="0"/>
    <n v="0"/>
    <n v="37"/>
    <n v="62"/>
    <n v="0"/>
    <n v="294.36"/>
    <n v="248.09"/>
    <m/>
    <n v="352.13044360000742"/>
    <n v="192.10069561515587"/>
    <n v="0"/>
    <n v="1925.7031200000001"/>
    <n v="1623.00478"/>
    <n v="0"/>
    <n v="2303.6373620312484"/>
    <n v="1256.7227507143498"/>
  </r>
  <r>
    <s v="Regular"/>
    <x v="0"/>
    <x v="0"/>
    <x v="0"/>
    <x v="4"/>
    <x v="0"/>
    <x v="0"/>
    <x v="0"/>
    <x v="7"/>
    <n v="0"/>
    <n v="0"/>
    <n v="10.398"/>
    <n v="10.398"/>
    <n v="10.398"/>
    <n v="10.398"/>
    <n v="33"/>
    <x v="0"/>
    <n v="0"/>
    <n v="0"/>
    <n v="37"/>
    <n v="62"/>
    <n v="0"/>
    <n v="294.36"/>
    <n v="248.09"/>
    <m/>
    <n v="352.13044360000742"/>
    <n v="192.10069561515587"/>
    <n v="0"/>
    <n v="3060.7552799999999"/>
    <n v="2579.6398199999999"/>
    <n v="0"/>
    <n v="3661.4523525528771"/>
    <n v="1997.4630330063908"/>
  </r>
  <r>
    <s v="Regular"/>
    <x v="0"/>
    <x v="0"/>
    <x v="0"/>
    <x v="4"/>
    <x v="0"/>
    <x v="0"/>
    <x v="0"/>
    <x v="8"/>
    <n v="0"/>
    <n v="0"/>
    <n v="12.074999999999999"/>
    <n v="12.074999999999999"/>
    <n v="12.074999999999999"/>
    <n v="12.074999999999999"/>
    <n v="35"/>
    <x v="0"/>
    <n v="0"/>
    <n v="0"/>
    <n v="37"/>
    <n v="62"/>
    <n v="0"/>
    <n v="294.36"/>
    <n v="248.09"/>
    <m/>
    <n v="352.13044360000742"/>
    <n v="192.10069561515587"/>
    <n v="0"/>
    <n v="3554.3969999999999"/>
    <n v="2995.6867499999998"/>
    <n v="0"/>
    <n v="4251.9751064700895"/>
    <n v="2319.6158995530068"/>
  </r>
  <r>
    <s v="Regular"/>
    <x v="0"/>
    <x v="0"/>
    <x v="0"/>
    <x v="4"/>
    <x v="0"/>
    <x v="0"/>
    <x v="0"/>
    <x v="9"/>
    <n v="0"/>
    <n v="0"/>
    <n v="12.263"/>
    <n v="12.263"/>
    <n v="12.263"/>
    <n v="12.263"/>
    <n v="41"/>
    <x v="0"/>
    <n v="0"/>
    <n v="0"/>
    <n v="37"/>
    <n v="62"/>
    <n v="0"/>
    <n v="294.36"/>
    <n v="248.09"/>
    <m/>
    <n v="352.13044360000742"/>
    <n v="192.10069561515587"/>
    <n v="0"/>
    <n v="3609.73668"/>
    <n v="3042.3276700000001"/>
    <n v="0"/>
    <n v="4318.1756298668906"/>
    <n v="2355.7308303286563"/>
  </r>
  <r>
    <s v="Regular"/>
    <x v="0"/>
    <x v="0"/>
    <x v="0"/>
    <x v="4"/>
    <x v="0"/>
    <x v="0"/>
    <x v="0"/>
    <x v="10"/>
    <n v="0"/>
    <n v="0"/>
    <n v="10.863"/>
    <n v="10.863"/>
    <n v="10.863"/>
    <n v="10.863"/>
    <n v="35"/>
    <x v="0"/>
    <n v="0"/>
    <n v="0"/>
    <n v="37"/>
    <n v="62"/>
    <n v="0"/>
    <n v="294.36"/>
    <n v="248.09"/>
    <m/>
    <n v="352.13044360000742"/>
    <n v="192.10069561515587"/>
    <n v="0"/>
    <n v="3197.6326800000002"/>
    <n v="2695.0016700000001"/>
    <n v="0"/>
    <n v="3825.1930088268805"/>
    <n v="2086.7898564674383"/>
  </r>
  <r>
    <s v="Regular"/>
    <x v="0"/>
    <x v="0"/>
    <x v="0"/>
    <x v="4"/>
    <x v="0"/>
    <x v="0"/>
    <x v="0"/>
    <x v="11"/>
    <n v="0"/>
    <n v="0"/>
    <n v="13.429"/>
    <n v="13.429"/>
    <n v="13.429"/>
    <n v="13.429"/>
    <n v="46"/>
    <x v="0"/>
    <n v="0"/>
    <n v="0"/>
    <n v="37"/>
    <n v="62"/>
    <n v="0"/>
    <n v="294.36"/>
    <n v="248.09"/>
    <m/>
    <n v="352.13044360000742"/>
    <n v="192.10069561515587"/>
    <n v="0"/>
    <n v="3952.9604400000003"/>
    <n v="3331.60061"/>
    <n v="0"/>
    <n v="4728.7597271044997"/>
    <n v="2579.7202414159283"/>
  </r>
  <r>
    <s v="Regular"/>
    <x v="1"/>
    <x v="0"/>
    <x v="1"/>
    <x v="5"/>
    <x v="0"/>
    <x v="0"/>
    <x v="0"/>
    <x v="0"/>
    <n v="0"/>
    <n v="0"/>
    <n v="469.49200000000002"/>
    <n v="469.49200000000002"/>
    <n v="469.49200000000002"/>
    <n v="469.49200000000002"/>
    <n v="1509"/>
    <x v="0"/>
    <n v="0"/>
    <n v="0"/>
    <n v="41"/>
    <n v="39"/>
    <n v="0"/>
    <n v="338.67"/>
    <n v="218.32"/>
    <m/>
    <n v="456.92614339322381"/>
    <n v="180.57465387824652"/>
    <n v="0"/>
    <n v="159002.85564000002"/>
    <n v="102499.49344000001"/>
    <n v="0"/>
    <n v="214523.16891397143"/>
    <n v="84778.355398605723"/>
  </r>
  <r>
    <s v="Sistema de Compensação"/>
    <x v="1"/>
    <x v="0"/>
    <x v="1"/>
    <x v="5"/>
    <x v="0"/>
    <x v="0"/>
    <x v="0"/>
    <x v="0"/>
    <n v="0"/>
    <n v="0"/>
    <n v="37.396999999999998"/>
    <n v="37.396999999999998"/>
    <n v="37.396999999999998"/>
    <n v="37.396999999999998"/>
    <n v="37"/>
    <x v="0"/>
    <n v="0"/>
    <n v="0"/>
    <n v="41"/>
    <n v="39"/>
    <n v="0"/>
    <n v="338.67"/>
    <n v="218.32"/>
    <m/>
    <n v="456.92614339322381"/>
    <n v="180.57465387824652"/>
    <n v="0"/>
    <n v="12665.24199"/>
    <n v="8164.5130399999998"/>
    <n v="0"/>
    <n v="17087.666984476389"/>
    <n v="6752.9503310847849"/>
  </r>
  <r>
    <s v="Regular"/>
    <x v="1"/>
    <x v="0"/>
    <x v="1"/>
    <x v="5"/>
    <x v="0"/>
    <x v="0"/>
    <x v="0"/>
    <x v="1"/>
    <n v="0"/>
    <n v="0"/>
    <n v="452.55099999999999"/>
    <n v="452.55099999999999"/>
    <n v="452.55099999999999"/>
    <n v="452.55099999999999"/>
    <n v="1500"/>
    <x v="0"/>
    <n v="0"/>
    <n v="0"/>
    <n v="41"/>
    <n v="39"/>
    <n v="0"/>
    <n v="338.67"/>
    <n v="218.32"/>
    <m/>
    <n v="456.92614339322381"/>
    <n v="180.57465387824652"/>
    <n v="0"/>
    <n v="153265.44717"/>
    <n v="98800.93432"/>
    <n v="0"/>
    <n v="206782.38311874683"/>
    <n v="81719.240187254341"/>
  </r>
  <r>
    <s v="Sistema de Compensação"/>
    <x v="1"/>
    <x v="0"/>
    <x v="1"/>
    <x v="5"/>
    <x v="0"/>
    <x v="0"/>
    <x v="0"/>
    <x v="1"/>
    <n v="0"/>
    <n v="0"/>
    <n v="38.174999999999997"/>
    <n v="38.174999999999997"/>
    <n v="38.174999999999997"/>
    <n v="38.174999999999997"/>
    <n v="41"/>
    <x v="0"/>
    <n v="0"/>
    <n v="0"/>
    <n v="41"/>
    <n v="39"/>
    <n v="0"/>
    <n v="338.67"/>
    <n v="218.32"/>
    <m/>
    <n v="456.92614339322381"/>
    <n v="180.57465387824652"/>
    <n v="0"/>
    <n v="12928.72725"/>
    <n v="8334.366"/>
    <n v="0"/>
    <n v="17443.155524036316"/>
    <n v="6893.4374118020605"/>
  </r>
  <r>
    <s v="Regular"/>
    <x v="1"/>
    <x v="0"/>
    <x v="1"/>
    <x v="5"/>
    <x v="0"/>
    <x v="0"/>
    <x v="0"/>
    <x v="2"/>
    <n v="0"/>
    <n v="0"/>
    <n v="526.09400000000005"/>
    <n v="526.09400000000005"/>
    <n v="526.09400000000005"/>
    <n v="526.09400000000005"/>
    <n v="1497"/>
    <x v="0"/>
    <n v="0"/>
    <n v="0"/>
    <n v="41"/>
    <n v="39"/>
    <n v="0"/>
    <n v="338.67"/>
    <n v="218.32"/>
    <m/>
    <n v="456.92614339322381"/>
    <n v="180.57465387824652"/>
    <n v="0"/>
    <n v="178172.25498000003"/>
    <n v="114856.84208"/>
    <n v="0"/>
    <n v="240386.10248231472"/>
    <n v="94999.241957422229"/>
  </r>
  <r>
    <s v="Sistema de Compensação"/>
    <x v="1"/>
    <x v="0"/>
    <x v="1"/>
    <x v="5"/>
    <x v="0"/>
    <x v="0"/>
    <x v="0"/>
    <x v="2"/>
    <n v="0"/>
    <n v="0"/>
    <n v="37.558999999999997"/>
    <n v="37.558999999999997"/>
    <n v="37.558999999999997"/>
    <n v="37.558999999999997"/>
    <n v="43"/>
    <x v="0"/>
    <n v="0"/>
    <n v="0"/>
    <n v="41"/>
    <n v="39"/>
    <n v="0"/>
    <n v="338.67"/>
    <n v="218.32"/>
    <m/>
    <n v="456.92614339322381"/>
    <n v="180.57465387824652"/>
    <n v="0"/>
    <n v="12720.106529999999"/>
    <n v="8199.8808799999988"/>
    <n v="0"/>
    <n v="17161.689019706093"/>
    <n v="6782.203425013061"/>
  </r>
  <r>
    <s v="Regular"/>
    <x v="1"/>
    <x v="0"/>
    <x v="1"/>
    <x v="5"/>
    <x v="0"/>
    <x v="0"/>
    <x v="0"/>
    <x v="3"/>
    <n v="0"/>
    <n v="0"/>
    <n v="526.80399999999997"/>
    <n v="526.80399999999997"/>
    <n v="526.80399999999997"/>
    <n v="526.80399999999997"/>
    <n v="1496"/>
    <x v="0"/>
    <n v="0"/>
    <n v="0"/>
    <n v="41"/>
    <n v="39"/>
    <n v="0"/>
    <n v="338.67"/>
    <n v="218.32"/>
    <m/>
    <n v="456.92614339322381"/>
    <n v="180.57465387824652"/>
    <n v="0"/>
    <n v="178412.71067999999"/>
    <n v="115011.84927999999"/>
    <n v="0"/>
    <n v="240710.52004412387"/>
    <n v="95127.449961675782"/>
  </r>
  <r>
    <s v="Sistema de Compensação"/>
    <x v="1"/>
    <x v="0"/>
    <x v="1"/>
    <x v="5"/>
    <x v="0"/>
    <x v="0"/>
    <x v="0"/>
    <x v="3"/>
    <n v="0"/>
    <n v="0"/>
    <n v="44.088999999999999"/>
    <n v="44.088999999999999"/>
    <n v="44.088999999999999"/>
    <n v="44.088999999999999"/>
    <n v="45"/>
    <x v="0"/>
    <n v="0"/>
    <n v="0"/>
    <n v="41"/>
    <n v="39"/>
    <n v="0"/>
    <n v="338.67"/>
    <n v="218.32"/>
    <m/>
    <n v="456.92614339322381"/>
    <n v="180.57465387824652"/>
    <n v="0"/>
    <n v="14931.62163"/>
    <n v="9625.510479999999"/>
    <n v="0"/>
    <n v="20145.416736063846"/>
    <n v="7961.3559148380109"/>
  </r>
  <r>
    <s v="Regular"/>
    <x v="1"/>
    <x v="0"/>
    <x v="1"/>
    <x v="5"/>
    <x v="0"/>
    <x v="0"/>
    <x v="0"/>
    <x v="4"/>
    <n v="0"/>
    <n v="0"/>
    <n v="514.68700000000001"/>
    <n v="514.68700000000001"/>
    <n v="514.68700000000001"/>
    <n v="514.68700000000001"/>
    <n v="1472"/>
    <x v="0"/>
    <n v="0"/>
    <n v="0"/>
    <n v="41"/>
    <n v="39"/>
    <n v="0"/>
    <n v="338.67"/>
    <n v="218.32"/>
    <m/>
    <n v="456.92614339322381"/>
    <n v="180.57465387824652"/>
    <n v="0"/>
    <n v="174309.04629"/>
    <n v="112366.46584"/>
    <n v="0"/>
    <n v="235173.94596462819"/>
    <n v="92939.426880633066"/>
  </r>
  <r>
    <s v="Sistema de Compensação"/>
    <x v="1"/>
    <x v="0"/>
    <x v="1"/>
    <x v="5"/>
    <x v="0"/>
    <x v="0"/>
    <x v="0"/>
    <x v="4"/>
    <n v="0"/>
    <n v="0"/>
    <n v="45.033999999999999"/>
    <n v="45.033999999999999"/>
    <n v="45.033999999999999"/>
    <n v="45.033999999999999"/>
    <n v="50"/>
    <x v="0"/>
    <n v="0"/>
    <n v="0"/>
    <n v="41"/>
    <n v="39"/>
    <n v="0"/>
    <n v="338.67"/>
    <n v="218.32"/>
    <m/>
    <n v="456.92614339322381"/>
    <n v="180.57465387824652"/>
    <n v="0"/>
    <n v="15251.664780000001"/>
    <n v="9831.8228799999997"/>
    <n v="0"/>
    <n v="20577.21194157044"/>
    <n v="8131.998962752954"/>
  </r>
  <r>
    <s v="Regular"/>
    <x v="1"/>
    <x v="0"/>
    <x v="1"/>
    <x v="5"/>
    <x v="0"/>
    <x v="0"/>
    <x v="0"/>
    <x v="5"/>
    <n v="0"/>
    <n v="0"/>
    <n v="459.70800000000003"/>
    <n v="459.70800000000003"/>
    <n v="459.70800000000003"/>
    <n v="459.70800000000003"/>
    <n v="1423"/>
    <x v="0"/>
    <n v="0"/>
    <n v="0"/>
    <n v="41"/>
    <n v="39"/>
    <n v="0"/>
    <n v="338.67"/>
    <n v="218.32"/>
    <m/>
    <n v="456.92614339322381"/>
    <n v="180.57465387824652"/>
    <n v="0"/>
    <n v="155689.30836000002"/>
    <n v="100363.45056"/>
    <n v="0"/>
    <n v="210052.60352701214"/>
    <n v="83011.612985060958"/>
  </r>
  <r>
    <s v="Sistema de Compensação"/>
    <x v="1"/>
    <x v="0"/>
    <x v="1"/>
    <x v="5"/>
    <x v="0"/>
    <x v="0"/>
    <x v="0"/>
    <x v="5"/>
    <n v="0"/>
    <n v="0"/>
    <n v="40.585999999999999"/>
    <n v="40.585999999999999"/>
    <n v="40.585999999999999"/>
    <n v="40.585999999999999"/>
    <n v="53"/>
    <x v="0"/>
    <n v="0"/>
    <n v="0"/>
    <n v="41"/>
    <n v="39"/>
    <n v="0"/>
    <n v="338.67"/>
    <n v="218.32"/>
    <m/>
    <n v="456.92614339322381"/>
    <n v="180.57465387824652"/>
    <n v="0"/>
    <n v="13745.260620000001"/>
    <n v="8860.7355200000002"/>
    <n v="0"/>
    <n v="18544.804455757381"/>
    <n v="7328.8029023025128"/>
  </r>
  <r>
    <s v="Regular"/>
    <x v="1"/>
    <x v="0"/>
    <x v="1"/>
    <x v="5"/>
    <x v="0"/>
    <x v="0"/>
    <x v="0"/>
    <x v="6"/>
    <n v="0"/>
    <n v="0"/>
    <n v="425.97399999999999"/>
    <n v="425.97399999999999"/>
    <n v="425.97399999999999"/>
    <n v="425.97399999999999"/>
    <n v="1419"/>
    <x v="0"/>
    <n v="0"/>
    <n v="0"/>
    <n v="41"/>
    <n v="39"/>
    <n v="0"/>
    <n v="338.67"/>
    <n v="218.32"/>
    <m/>
    <n v="456.92614339322381"/>
    <n v="180.57465387824652"/>
    <n v="0"/>
    <n v="144264.61457999999"/>
    <n v="92998.643679999994"/>
    <n v="0"/>
    <n v="194638.65700578512"/>
    <n v="76920.107611132189"/>
  </r>
  <r>
    <s v="Sistema de Compensação"/>
    <x v="1"/>
    <x v="0"/>
    <x v="1"/>
    <x v="5"/>
    <x v="0"/>
    <x v="0"/>
    <x v="0"/>
    <x v="6"/>
    <n v="0"/>
    <n v="0"/>
    <n v="42.883000000000003"/>
    <n v="42.883000000000003"/>
    <n v="42.883000000000003"/>
    <n v="42.883000000000003"/>
    <n v="55"/>
    <x v="0"/>
    <n v="0"/>
    <n v="0"/>
    <n v="41"/>
    <n v="39"/>
    <n v="0"/>
    <n v="338.67"/>
    <n v="218.32"/>
    <m/>
    <n v="456.92614339322381"/>
    <n v="180.57465387824652"/>
    <n v="0"/>
    <n v="14523.185610000002"/>
    <n v="9362.2165600000008"/>
    <n v="0"/>
    <n v="19594.363807131616"/>
    <n v="7743.5828822608464"/>
  </r>
  <r>
    <s v="Regular"/>
    <x v="1"/>
    <x v="0"/>
    <x v="1"/>
    <x v="5"/>
    <x v="0"/>
    <x v="0"/>
    <x v="0"/>
    <x v="7"/>
    <n v="0"/>
    <n v="0"/>
    <n v="466.97800000000001"/>
    <n v="466.97800000000001"/>
    <n v="466.97800000000001"/>
    <n v="466.97800000000001"/>
    <n v="1419"/>
    <x v="0"/>
    <n v="0"/>
    <n v="0"/>
    <n v="41"/>
    <n v="39"/>
    <n v="0"/>
    <n v="338.67"/>
    <n v="218.32"/>
    <m/>
    <n v="456.92614339322381"/>
    <n v="180.57465387824652"/>
    <n v="0"/>
    <n v="158151.43926000001"/>
    <n v="101950.63696"/>
    <n v="0"/>
    <n v="213374.45658948086"/>
    <n v="84324.390718755807"/>
  </r>
  <r>
    <s v="Sistema de Compensação"/>
    <x v="1"/>
    <x v="0"/>
    <x v="1"/>
    <x v="5"/>
    <x v="0"/>
    <x v="0"/>
    <x v="0"/>
    <x v="7"/>
    <n v="0"/>
    <n v="0"/>
    <n v="38.088999999999999"/>
    <n v="38.088999999999999"/>
    <n v="38.088999999999999"/>
    <n v="38.088999999999999"/>
    <n v="56"/>
    <x v="0"/>
    <n v="0"/>
    <n v="0"/>
    <n v="41"/>
    <n v="39"/>
    <n v="0"/>
    <n v="338.67"/>
    <n v="218.32"/>
    <m/>
    <n v="456.92614339322381"/>
    <n v="180.57465387824652"/>
    <n v="0"/>
    <n v="12899.601630000001"/>
    <n v="8315.5904799999989"/>
    <n v="0"/>
    <n v="17403.8598757045"/>
    <n v="6877.9079915685315"/>
  </r>
  <r>
    <s v="Regular"/>
    <x v="1"/>
    <x v="0"/>
    <x v="1"/>
    <x v="5"/>
    <x v="0"/>
    <x v="0"/>
    <x v="0"/>
    <x v="8"/>
    <n v="0"/>
    <n v="0"/>
    <n v="445.42899999999997"/>
    <n v="445.42899999999997"/>
    <n v="445.42899999999997"/>
    <n v="445.42899999999997"/>
    <n v="1413"/>
    <x v="0"/>
    <n v="0"/>
    <n v="0"/>
    <n v="41"/>
    <n v="39"/>
    <n v="0"/>
    <n v="338.67"/>
    <n v="218.32"/>
    <m/>
    <n v="456.92614339322381"/>
    <n v="180.57465387824652"/>
    <n v="0"/>
    <n v="150853.43943"/>
    <n v="97246.059279999987"/>
    <n v="0"/>
    <n v="203528.15512550029"/>
    <n v="80433.187502333472"/>
  </r>
  <r>
    <s v="Sistema de Compensação"/>
    <x v="1"/>
    <x v="0"/>
    <x v="1"/>
    <x v="5"/>
    <x v="0"/>
    <x v="0"/>
    <x v="0"/>
    <x v="8"/>
    <n v="0"/>
    <n v="0"/>
    <n v="34.158000000000001"/>
    <n v="34.158000000000001"/>
    <n v="34.158000000000001"/>
    <n v="34.158000000000001"/>
    <n v="59"/>
    <x v="0"/>
    <n v="0"/>
    <n v="0"/>
    <n v="41"/>
    <n v="39"/>
    <n v="0"/>
    <n v="338.67"/>
    <n v="218.32"/>
    <m/>
    <n v="456.92614339322381"/>
    <n v="180.57465387824652"/>
    <n v="0"/>
    <n v="11568.289860000001"/>
    <n v="7457.3745600000002"/>
    <n v="0"/>
    <n v="15607.68320602574"/>
    <n v="6168.0690271731446"/>
  </r>
  <r>
    <s v="Regular"/>
    <x v="1"/>
    <x v="0"/>
    <x v="1"/>
    <x v="5"/>
    <x v="0"/>
    <x v="0"/>
    <x v="0"/>
    <x v="9"/>
    <n v="0"/>
    <n v="0"/>
    <n v="496.76"/>
    <n v="496.76"/>
    <n v="496.76"/>
    <n v="496.76"/>
    <n v="1409"/>
    <x v="0"/>
    <n v="0"/>
    <n v="0"/>
    <n v="41"/>
    <n v="39"/>
    <n v="0"/>
    <n v="338.67"/>
    <n v="218.32"/>
    <m/>
    <n v="456.92614339322381"/>
    <n v="180.57465387824652"/>
    <n v="0"/>
    <n v="168237.70920000001"/>
    <n v="108452.64319999999"/>
    <n v="0"/>
    <n v="226982.63099201786"/>
    <n v="89702.265060557736"/>
  </r>
  <r>
    <s v="Sistema de Compensação"/>
    <x v="1"/>
    <x v="0"/>
    <x v="1"/>
    <x v="5"/>
    <x v="0"/>
    <x v="0"/>
    <x v="0"/>
    <x v="9"/>
    <n v="0"/>
    <n v="0"/>
    <n v="45.319000000000003"/>
    <n v="45.319000000000003"/>
    <n v="45.319000000000003"/>
    <n v="45.319000000000003"/>
    <n v="60"/>
    <x v="0"/>
    <n v="0"/>
    <n v="0"/>
    <n v="41"/>
    <n v="39"/>
    <n v="0"/>
    <n v="338.67"/>
    <n v="218.32"/>
    <m/>
    <n v="456.92614339322381"/>
    <n v="180.57465387824652"/>
    <n v="0"/>
    <n v="15348.185730000001"/>
    <n v="9894.0440799999997"/>
    <n v="0"/>
    <n v="20707.435892437512"/>
    <n v="8183.4627391082549"/>
  </r>
  <r>
    <s v="Regular"/>
    <x v="1"/>
    <x v="0"/>
    <x v="1"/>
    <x v="5"/>
    <x v="0"/>
    <x v="0"/>
    <x v="0"/>
    <x v="10"/>
    <n v="0"/>
    <n v="0"/>
    <n v="443.57400000000001"/>
    <n v="443.57400000000001"/>
    <n v="443.57400000000001"/>
    <n v="443.57400000000001"/>
    <n v="1407"/>
    <x v="0"/>
    <n v="0"/>
    <n v="0"/>
    <n v="41"/>
    <n v="39"/>
    <n v="0"/>
    <n v="338.67"/>
    <n v="218.32"/>
    <m/>
    <n v="456.92614339322381"/>
    <n v="180.57465387824652"/>
    <n v="0"/>
    <n v="150225.20658"/>
    <n v="96841.075679999994"/>
    <n v="0"/>
    <n v="202680.55712950588"/>
    <n v="80098.221519389321"/>
  </r>
  <r>
    <s v="Sistema de Compensação"/>
    <x v="1"/>
    <x v="0"/>
    <x v="1"/>
    <x v="5"/>
    <x v="0"/>
    <x v="0"/>
    <x v="0"/>
    <x v="10"/>
    <n v="0"/>
    <n v="0"/>
    <n v="46.637"/>
    <n v="46.637"/>
    <n v="46.637"/>
    <n v="46.637"/>
    <n v="62"/>
    <x v="0"/>
    <n v="0"/>
    <n v="0"/>
    <n v="41"/>
    <n v="39"/>
    <n v="0"/>
    <n v="338.67"/>
    <n v="218.32"/>
    <m/>
    <n v="456.92614339322381"/>
    <n v="180.57465387824652"/>
    <n v="0"/>
    <n v="15794.552790000002"/>
    <n v="10181.789839999999"/>
    <n v="0"/>
    <n v="21309.664549429777"/>
    <n v="8421.4601329197831"/>
  </r>
  <r>
    <s v="Regular"/>
    <x v="1"/>
    <x v="0"/>
    <x v="1"/>
    <x v="5"/>
    <x v="0"/>
    <x v="0"/>
    <x v="0"/>
    <x v="11"/>
    <n v="0"/>
    <n v="0"/>
    <n v="490.70600000000002"/>
    <n v="490.70600000000002"/>
    <n v="490.70600000000002"/>
    <n v="490.70600000000002"/>
    <n v="1404"/>
    <x v="0"/>
    <n v="0"/>
    <n v="0"/>
    <n v="41"/>
    <n v="39"/>
    <n v="0"/>
    <n v="338.67"/>
    <n v="218.32"/>
    <m/>
    <n v="456.92614339322381"/>
    <n v="180.57465387824652"/>
    <n v="0"/>
    <n v="166187.40102000002"/>
    <n v="107130.93392"/>
    <n v="0"/>
    <n v="224216.40011991528"/>
    <n v="88609.06610597884"/>
  </r>
  <r>
    <s v="Sistema de Compensação"/>
    <x v="1"/>
    <x v="0"/>
    <x v="1"/>
    <x v="5"/>
    <x v="0"/>
    <x v="0"/>
    <x v="0"/>
    <x v="11"/>
    <n v="0"/>
    <n v="0"/>
    <n v="11.884"/>
    <n v="11.884"/>
    <n v="11.884"/>
    <n v="11.884"/>
    <n v="64"/>
    <x v="0"/>
    <n v="0"/>
    <n v="0"/>
    <n v="41"/>
    <n v="39"/>
    <n v="0"/>
    <n v="338.67"/>
    <n v="218.32"/>
    <m/>
    <n v="456.92614339322381"/>
    <n v="180.57465387824652"/>
    <n v="0"/>
    <n v="4024.7542800000001"/>
    <n v="2594.5148800000002"/>
    <n v="0"/>
    <n v="5430.1102880850722"/>
    <n v="2145.9491866890817"/>
  </r>
  <r>
    <s v="Regular"/>
    <x v="2"/>
    <x v="0"/>
    <x v="2"/>
    <x v="5"/>
    <x v="0"/>
    <x v="0"/>
    <x v="0"/>
    <x v="0"/>
    <n v="0"/>
    <n v="0"/>
    <n v="97.988"/>
    <n v="97.988"/>
    <n v="97.988"/>
    <n v="97.988"/>
    <n v="195"/>
    <x v="0"/>
    <n v="0"/>
    <n v="0"/>
    <n v="42"/>
    <n v="50"/>
    <n v="0"/>
    <n v="384.85"/>
    <n v="248.09"/>
    <m/>
    <n v="486.0916419076849"/>
    <n v="192.10069561515587"/>
    <n v="0"/>
    <n v="37710.681799999998"/>
    <n v="24309.842919999999"/>
    <n v="0"/>
    <n v="47631.147807250229"/>
    <n v="18823.562961937892"/>
  </r>
  <r>
    <s v="Sistema de Compensação"/>
    <x v="2"/>
    <x v="0"/>
    <x v="2"/>
    <x v="5"/>
    <x v="0"/>
    <x v="0"/>
    <x v="0"/>
    <x v="0"/>
    <n v="0"/>
    <n v="0"/>
    <n v="12.255000000000001"/>
    <n v="12.255000000000001"/>
    <n v="12.255000000000001"/>
    <n v="12.255000000000001"/>
    <n v="13"/>
    <x v="0"/>
    <n v="0"/>
    <n v="0"/>
    <n v="42"/>
    <n v="50"/>
    <n v="0"/>
    <n v="384.85"/>
    <n v="248.09"/>
    <m/>
    <n v="486.0916419076849"/>
    <n v="192.10069561515587"/>
    <n v="0"/>
    <n v="4716.3367500000004"/>
    <n v="3040.3429500000002"/>
    <n v="0"/>
    <n v="5957.053071578679"/>
    <n v="2354.1940247637353"/>
  </r>
  <r>
    <s v="Regular"/>
    <x v="2"/>
    <x v="0"/>
    <x v="2"/>
    <x v="5"/>
    <x v="0"/>
    <x v="0"/>
    <x v="0"/>
    <x v="1"/>
    <n v="0"/>
    <n v="0"/>
    <n v="99.230999999999995"/>
    <n v="99.230999999999995"/>
    <n v="99.230999999999995"/>
    <n v="99.230999999999995"/>
    <n v="196"/>
    <x v="0"/>
    <n v="0"/>
    <n v="0"/>
    <n v="42"/>
    <n v="50"/>
    <n v="0"/>
    <n v="384.85"/>
    <n v="248.09"/>
    <m/>
    <n v="486.0916419076849"/>
    <n v="192.10069561515587"/>
    <n v="0"/>
    <n v="38189.050349999998"/>
    <n v="24618.218789999999"/>
    <n v="0"/>
    <n v="48235.359718141481"/>
    <n v="19062.34412658753"/>
  </r>
  <r>
    <s v="Sistema de Compensação"/>
    <x v="2"/>
    <x v="0"/>
    <x v="2"/>
    <x v="5"/>
    <x v="0"/>
    <x v="0"/>
    <x v="0"/>
    <x v="1"/>
    <n v="0"/>
    <n v="0"/>
    <n v="13.917"/>
    <n v="13.917"/>
    <n v="13.917"/>
    <n v="13.917"/>
    <n v="13"/>
    <x v="0"/>
    <n v="0"/>
    <n v="0"/>
    <n v="42"/>
    <n v="50"/>
    <n v="0"/>
    <n v="384.85"/>
    <n v="248.09"/>
    <m/>
    <n v="486.0916419076849"/>
    <n v="192.10069561515587"/>
    <n v="0"/>
    <n v="5355.9574499999999"/>
    <n v="3452.6685299999999"/>
    <n v="0"/>
    <n v="6764.9373804292509"/>
    <n v="2673.4653808761241"/>
  </r>
  <r>
    <s v="Regular"/>
    <x v="2"/>
    <x v="0"/>
    <x v="2"/>
    <x v="5"/>
    <x v="0"/>
    <x v="0"/>
    <x v="0"/>
    <x v="2"/>
    <n v="0"/>
    <n v="0"/>
    <n v="108.58799999999999"/>
    <n v="108.58799999999999"/>
    <n v="108.58799999999999"/>
    <n v="108.58799999999999"/>
    <n v="197"/>
    <x v="0"/>
    <n v="0"/>
    <n v="0"/>
    <n v="42"/>
    <n v="50"/>
    <n v="0"/>
    <n v="384.85"/>
    <n v="248.09"/>
    <m/>
    <n v="486.0916419076849"/>
    <n v="192.10069561515587"/>
    <n v="0"/>
    <n v="41790.091800000002"/>
    <n v="26939.59692"/>
    <n v="0"/>
    <n v="52783.719211471682"/>
    <n v="20859.830335458544"/>
  </r>
  <r>
    <s v="Sistema de Compensação"/>
    <x v="2"/>
    <x v="0"/>
    <x v="2"/>
    <x v="5"/>
    <x v="0"/>
    <x v="0"/>
    <x v="0"/>
    <x v="2"/>
    <n v="0"/>
    <n v="0"/>
    <n v="15.769"/>
    <n v="15.769"/>
    <n v="15.769"/>
    <n v="15.769"/>
    <n v="13"/>
    <x v="0"/>
    <n v="0"/>
    <n v="0"/>
    <n v="42"/>
    <n v="50"/>
    <n v="0"/>
    <n v="384.85"/>
    <n v="248.09"/>
    <m/>
    <n v="486.0916419076849"/>
    <n v="192.10069561515587"/>
    <n v="0"/>
    <n v="6068.6996500000005"/>
    <n v="3912.13121"/>
    <n v="0"/>
    <n v="7665.1791012422837"/>
    <n v="3029.2358691553932"/>
  </r>
  <r>
    <s v="Regular"/>
    <x v="2"/>
    <x v="0"/>
    <x v="2"/>
    <x v="5"/>
    <x v="0"/>
    <x v="0"/>
    <x v="0"/>
    <x v="3"/>
    <n v="0"/>
    <n v="0"/>
    <n v="114.036"/>
    <n v="114.036"/>
    <n v="114.036"/>
    <n v="114.036"/>
    <n v="198"/>
    <x v="0"/>
    <n v="0"/>
    <n v="0"/>
    <n v="42"/>
    <n v="50"/>
    <n v="0"/>
    <n v="384.85"/>
    <n v="248.09"/>
    <m/>
    <n v="486.0916419076849"/>
    <n v="192.10069561515587"/>
    <n v="0"/>
    <n v="43886.7546"/>
    <n v="28291.19124"/>
    <n v="0"/>
    <n v="55431.946476584759"/>
    <n v="21906.394925169916"/>
  </r>
  <r>
    <s v="Sistema de Compensação"/>
    <x v="2"/>
    <x v="0"/>
    <x v="2"/>
    <x v="5"/>
    <x v="0"/>
    <x v="0"/>
    <x v="0"/>
    <x v="3"/>
    <n v="0"/>
    <n v="0"/>
    <n v="15.666"/>
    <n v="15.666"/>
    <n v="15.666"/>
    <n v="15.666"/>
    <n v="14"/>
    <x v="0"/>
    <n v="0"/>
    <n v="0"/>
    <n v="42"/>
    <n v="50"/>
    <n v="0"/>
    <n v="384.85"/>
    <n v="248.09"/>
    <m/>
    <n v="486.0916419076849"/>
    <n v="192.10069561515587"/>
    <n v="0"/>
    <n v="6029.0601000000006"/>
    <n v="3886.5779400000001"/>
    <n v="0"/>
    <n v="7615.1116621257916"/>
    <n v="3009.449497507032"/>
  </r>
  <r>
    <s v="Regular"/>
    <x v="2"/>
    <x v="0"/>
    <x v="2"/>
    <x v="5"/>
    <x v="0"/>
    <x v="0"/>
    <x v="0"/>
    <x v="4"/>
    <n v="0"/>
    <n v="0"/>
    <n v="113.01900000000001"/>
    <n v="113.01900000000001"/>
    <n v="113.01900000000001"/>
    <n v="113.01900000000001"/>
    <n v="196"/>
    <x v="0"/>
    <n v="0"/>
    <n v="0"/>
    <n v="42"/>
    <n v="50"/>
    <n v="0"/>
    <n v="384.85"/>
    <n v="248.09"/>
    <m/>
    <n v="486.0916419076849"/>
    <n v="192.10069561515587"/>
    <n v="0"/>
    <n v="43495.362150000008"/>
    <n v="28038.883710000002"/>
    <n v="0"/>
    <n v="54937.591276764644"/>
    <n v="21711.028517729301"/>
  </r>
  <r>
    <s v="Sistema de Compensação"/>
    <x v="2"/>
    <x v="0"/>
    <x v="2"/>
    <x v="5"/>
    <x v="0"/>
    <x v="0"/>
    <x v="0"/>
    <x v="4"/>
    <n v="0"/>
    <n v="0"/>
    <n v="16.754999999999999"/>
    <n v="16.754999999999999"/>
    <n v="16.754999999999999"/>
    <n v="16.754999999999999"/>
    <n v="14"/>
    <x v="0"/>
    <n v="0"/>
    <n v="0"/>
    <n v="42"/>
    <n v="50"/>
    <n v="0"/>
    <n v="384.85"/>
    <n v="248.09"/>
    <m/>
    <n v="486.0916419076849"/>
    <n v="192.10069561515587"/>
    <n v="0"/>
    <n v="6448.1617500000002"/>
    <n v="4156.7479499999999"/>
    <n v="0"/>
    <n v="8144.4654601632601"/>
    <n v="3218.6471550319366"/>
  </r>
  <r>
    <s v="Regular"/>
    <x v="2"/>
    <x v="0"/>
    <x v="2"/>
    <x v="5"/>
    <x v="0"/>
    <x v="0"/>
    <x v="0"/>
    <x v="5"/>
    <n v="0"/>
    <n v="0"/>
    <n v="108.592"/>
    <n v="108.592"/>
    <n v="108.592"/>
    <n v="108.592"/>
    <n v="196"/>
    <x v="0"/>
    <n v="0"/>
    <n v="0"/>
    <n v="42"/>
    <n v="50"/>
    <n v="0"/>
    <n v="384.85"/>
    <n v="248.09"/>
    <m/>
    <n v="486.0916419076849"/>
    <n v="192.10069561515587"/>
    <n v="0"/>
    <n v="41791.631200000003"/>
    <n v="26940.58928"/>
    <n v="0"/>
    <n v="52785.663578039319"/>
    <n v="20860.598738241006"/>
  </r>
  <r>
    <s v="Sistema de Compensação"/>
    <x v="2"/>
    <x v="0"/>
    <x v="2"/>
    <x v="5"/>
    <x v="0"/>
    <x v="0"/>
    <x v="0"/>
    <x v="5"/>
    <n v="0"/>
    <n v="0"/>
    <n v="12.262"/>
    <n v="12.262"/>
    <n v="12.262"/>
    <n v="12.262"/>
    <n v="14"/>
    <x v="0"/>
    <n v="0"/>
    <n v="0"/>
    <n v="42"/>
    <n v="50"/>
    <n v="0"/>
    <n v="384.85"/>
    <n v="248.09"/>
    <m/>
    <n v="486.0916419076849"/>
    <n v="192.10069561515587"/>
    <n v="0"/>
    <n v="4719.0307000000003"/>
    <n v="3042.0795800000001"/>
    <n v="0"/>
    <n v="5960.4557130720323"/>
    <n v="2355.5387296330414"/>
  </r>
  <r>
    <s v="Regular"/>
    <x v="2"/>
    <x v="0"/>
    <x v="2"/>
    <x v="5"/>
    <x v="0"/>
    <x v="0"/>
    <x v="0"/>
    <x v="6"/>
    <n v="0"/>
    <n v="0"/>
    <n v="103.051"/>
    <n v="103.051"/>
    <n v="103.051"/>
    <n v="103.051"/>
    <n v="195"/>
    <x v="0"/>
    <n v="0"/>
    <n v="0"/>
    <n v="42"/>
    <n v="50"/>
    <n v="0"/>
    <n v="384.85"/>
    <n v="248.09"/>
    <m/>
    <n v="486.0916419076849"/>
    <n v="192.10069561515587"/>
    <n v="0"/>
    <n v="39659.177350000005"/>
    <n v="25565.922590000002"/>
    <n v="0"/>
    <n v="50092.229790228841"/>
    <n v="19796.168783837427"/>
  </r>
  <r>
    <s v="Sistema de Compensação"/>
    <x v="2"/>
    <x v="0"/>
    <x v="2"/>
    <x v="5"/>
    <x v="0"/>
    <x v="0"/>
    <x v="0"/>
    <x v="6"/>
    <n v="0"/>
    <n v="0"/>
    <n v="10.843999999999999"/>
    <n v="10.843999999999999"/>
    <n v="10.843999999999999"/>
    <n v="10.843999999999999"/>
    <n v="15"/>
    <x v="0"/>
    <n v="0"/>
    <n v="0"/>
    <n v="42"/>
    <n v="50"/>
    <n v="0"/>
    <n v="384.85"/>
    <n v="248.09"/>
    <m/>
    <n v="486.0916419076849"/>
    <n v="192.10069561515587"/>
    <n v="0"/>
    <n v="4173.3134"/>
    <n v="2690.2879600000001"/>
    <n v="0"/>
    <n v="5271.1777648469351"/>
    <n v="2083.1399432507501"/>
  </r>
  <r>
    <s v="Regular"/>
    <x v="2"/>
    <x v="0"/>
    <x v="2"/>
    <x v="5"/>
    <x v="0"/>
    <x v="0"/>
    <x v="0"/>
    <x v="7"/>
    <n v="0"/>
    <n v="0"/>
    <n v="103.625"/>
    <n v="103.625"/>
    <n v="103.625"/>
    <n v="103.625"/>
    <n v="198"/>
    <x v="0"/>
    <n v="0"/>
    <n v="0"/>
    <n v="42"/>
    <n v="50"/>
    <n v="0"/>
    <n v="384.85"/>
    <n v="248.09"/>
    <m/>
    <n v="486.0916419076849"/>
    <n v="192.10069561515587"/>
    <n v="0"/>
    <n v="39880.081250000003"/>
    <n v="25708.326250000002"/>
    <n v="0"/>
    <n v="50371.246392683846"/>
    <n v="19906.434583120528"/>
  </r>
  <r>
    <s v="Sistema de Compensação"/>
    <x v="2"/>
    <x v="0"/>
    <x v="2"/>
    <x v="5"/>
    <x v="0"/>
    <x v="0"/>
    <x v="0"/>
    <x v="7"/>
    <n v="0"/>
    <n v="0"/>
    <n v="9.2810000000000006"/>
    <n v="9.2810000000000006"/>
    <n v="9.2810000000000006"/>
    <n v="9.2810000000000006"/>
    <n v="15"/>
    <x v="0"/>
    <n v="0"/>
    <n v="0"/>
    <n v="42"/>
    <n v="50"/>
    <n v="0"/>
    <n v="384.85"/>
    <n v="248.09"/>
    <m/>
    <n v="486.0916419076849"/>
    <n v="192.10069561515587"/>
    <n v="0"/>
    <n v="3571.7928500000003"/>
    <n v="2302.5232900000001"/>
    <n v="0"/>
    <n v="4511.4165285452236"/>
    <n v="1782.8865560042618"/>
  </r>
  <r>
    <s v="Regular"/>
    <x v="2"/>
    <x v="0"/>
    <x v="2"/>
    <x v="5"/>
    <x v="0"/>
    <x v="0"/>
    <x v="0"/>
    <x v="8"/>
    <n v="0"/>
    <n v="0"/>
    <n v="97.531000000000006"/>
    <n v="97.531000000000006"/>
    <n v="97.531000000000006"/>
    <n v="97.531000000000006"/>
    <n v="198"/>
    <x v="0"/>
    <n v="0"/>
    <n v="0"/>
    <n v="42"/>
    <n v="50"/>
    <n v="0"/>
    <n v="384.85"/>
    <n v="248.09"/>
    <m/>
    <n v="486.0916419076849"/>
    <n v="192.10069561515587"/>
    <n v="0"/>
    <n v="37534.805350000002"/>
    <n v="24196.465790000002"/>
    <n v="0"/>
    <n v="47409.003926898418"/>
    <n v="18735.772944041768"/>
  </r>
  <r>
    <s v="Sistema de Compensação"/>
    <x v="2"/>
    <x v="0"/>
    <x v="2"/>
    <x v="5"/>
    <x v="0"/>
    <x v="0"/>
    <x v="0"/>
    <x v="8"/>
    <n v="0"/>
    <n v="0"/>
    <n v="8.7059999999999995"/>
    <n v="8.7059999999999995"/>
    <n v="8.7059999999999995"/>
    <n v="8.7059999999999995"/>
    <n v="15"/>
    <x v="0"/>
    <n v="0"/>
    <n v="0"/>
    <n v="42"/>
    <n v="50"/>
    <n v="0"/>
    <n v="384.85"/>
    <n v="248.09"/>
    <m/>
    <n v="486.0916419076849"/>
    <n v="192.10069561515587"/>
    <n v="0"/>
    <n v="3350.5041000000001"/>
    <n v="2159.8715400000001"/>
    <n v="0"/>
    <n v="4231.9138344483044"/>
    <n v="1672.4286560255468"/>
  </r>
  <r>
    <s v="Regular"/>
    <x v="2"/>
    <x v="0"/>
    <x v="2"/>
    <x v="5"/>
    <x v="0"/>
    <x v="0"/>
    <x v="0"/>
    <x v="9"/>
    <n v="0"/>
    <n v="0"/>
    <n v="101.33"/>
    <n v="101.33"/>
    <n v="101.33"/>
    <n v="101.33"/>
    <n v="198"/>
    <x v="0"/>
    <n v="0"/>
    <n v="0"/>
    <n v="42"/>
    <n v="50"/>
    <n v="0"/>
    <n v="384.85"/>
    <n v="248.09"/>
    <m/>
    <n v="486.0916419076849"/>
    <n v="192.10069561515587"/>
    <n v="0"/>
    <n v="38996.8505"/>
    <n v="25138.959699999999"/>
    <n v="0"/>
    <n v="49255.666074505709"/>
    <n v="19465.563486683743"/>
  </r>
  <r>
    <s v="Sistema de Compensação"/>
    <x v="2"/>
    <x v="0"/>
    <x v="2"/>
    <x v="5"/>
    <x v="0"/>
    <x v="0"/>
    <x v="0"/>
    <x v="9"/>
    <n v="0"/>
    <n v="0"/>
    <n v="9.4649999999999999"/>
    <n v="9.4649999999999999"/>
    <n v="9.4649999999999999"/>
    <n v="9.4649999999999999"/>
    <n v="15"/>
    <x v="0"/>
    <n v="0"/>
    <n v="0"/>
    <n v="42"/>
    <n v="50"/>
    <n v="0"/>
    <n v="384.85"/>
    <n v="248.09"/>
    <m/>
    <n v="486.0916419076849"/>
    <n v="192.10069561515587"/>
    <n v="0"/>
    <n v="3642.6052500000001"/>
    <n v="2348.1718500000002"/>
    <n v="0"/>
    <n v="4600.8573906562378"/>
    <n v="1818.2330839974502"/>
  </r>
  <r>
    <s v="Regular"/>
    <x v="2"/>
    <x v="0"/>
    <x v="2"/>
    <x v="5"/>
    <x v="0"/>
    <x v="0"/>
    <x v="0"/>
    <x v="10"/>
    <n v="0"/>
    <n v="0"/>
    <n v="105.134"/>
    <n v="105.134"/>
    <n v="105.134"/>
    <n v="105.134"/>
    <n v="199"/>
    <x v="0"/>
    <n v="0"/>
    <n v="0"/>
    <n v="42"/>
    <n v="50"/>
    <n v="0"/>
    <n v="384.85"/>
    <n v="248.09"/>
    <m/>
    <n v="486.0916419076849"/>
    <n v="192.10069561515587"/>
    <n v="0"/>
    <n v="40460.819900000002"/>
    <n v="26082.694060000002"/>
    <n v="0"/>
    <n v="51104.758680322542"/>
    <n v="20196.314532803797"/>
  </r>
  <r>
    <s v="Sistema de Compensação"/>
    <x v="2"/>
    <x v="0"/>
    <x v="2"/>
    <x v="5"/>
    <x v="0"/>
    <x v="0"/>
    <x v="0"/>
    <x v="10"/>
    <n v="0"/>
    <n v="0"/>
    <n v="11.551"/>
    <n v="11.551"/>
    <n v="11.551"/>
    <n v="11.551"/>
    <n v="16"/>
    <x v="0"/>
    <n v="0"/>
    <n v="0"/>
    <n v="42"/>
    <n v="50"/>
    <n v="0"/>
    <n v="384.85"/>
    <n v="248.09"/>
    <m/>
    <n v="486.0916419076849"/>
    <n v="192.10069561515587"/>
    <n v="0"/>
    <n v="4445.4023500000003"/>
    <n v="2865.68759"/>
    <n v="0"/>
    <n v="5614.8445556756687"/>
    <n v="2218.9551350506654"/>
  </r>
  <r>
    <s v="Regular"/>
    <x v="2"/>
    <x v="0"/>
    <x v="2"/>
    <x v="5"/>
    <x v="0"/>
    <x v="0"/>
    <x v="0"/>
    <x v="11"/>
    <n v="0"/>
    <n v="0"/>
    <n v="104.515"/>
    <n v="104.515"/>
    <n v="104.515"/>
    <n v="104.515"/>
    <n v="206"/>
    <x v="0"/>
    <n v="0"/>
    <n v="0"/>
    <n v="42"/>
    <n v="50"/>
    <n v="0"/>
    <n v="384.85"/>
    <n v="248.09"/>
    <m/>
    <n v="486.0916419076849"/>
    <n v="192.10069561515587"/>
    <n v="0"/>
    <n v="40222.597750000001"/>
    <n v="25929.126350000002"/>
    <n v="0"/>
    <n v="50803.867953981688"/>
    <n v="20077.404202218015"/>
  </r>
  <r>
    <s v="Sistema de Compensação"/>
    <x v="2"/>
    <x v="0"/>
    <x v="2"/>
    <x v="5"/>
    <x v="0"/>
    <x v="0"/>
    <x v="0"/>
    <x v="11"/>
    <n v="0"/>
    <n v="0"/>
    <n v="48.408000000000001"/>
    <n v="48.408000000000001"/>
    <n v="48.408000000000001"/>
    <n v="48.408000000000001"/>
    <n v="17"/>
    <x v="0"/>
    <n v="0"/>
    <n v="0"/>
    <n v="42"/>
    <n v="50"/>
    <n v="0"/>
    <n v="384.85"/>
    <n v="248.09"/>
    <m/>
    <n v="486.0916419076849"/>
    <n v="192.10069561515587"/>
    <n v="0"/>
    <n v="18629.818800000001"/>
    <n v="12009.540720000001"/>
    <n v="0"/>
    <n v="23530.724201467212"/>
    <n v="9299.2104733384658"/>
  </r>
  <r>
    <s v="Regular"/>
    <x v="2"/>
    <x v="0"/>
    <x v="3"/>
    <x v="5"/>
    <x v="0"/>
    <x v="0"/>
    <x v="0"/>
    <x v="0"/>
    <n v="0"/>
    <n v="0"/>
    <n v="103.886"/>
    <n v="103.886"/>
    <n v="103.886"/>
    <n v="103.886"/>
    <n v="39"/>
    <x v="0"/>
    <n v="0"/>
    <n v="0"/>
    <n v="42"/>
    <n v="50"/>
    <n v="0"/>
    <n v="384.85"/>
    <n v="248.09"/>
    <m/>
    <n v="486.0916419076849"/>
    <n v="192.10069561515587"/>
    <n v="0"/>
    <n v="39980.527099999999"/>
    <n v="25773.077740000001"/>
    <n v="0"/>
    <n v="50498.116311221755"/>
    <n v="19956.572864676084"/>
  </r>
  <r>
    <s v="Sistema de Compensação"/>
    <x v="2"/>
    <x v="0"/>
    <x v="3"/>
    <x v="5"/>
    <x v="0"/>
    <x v="0"/>
    <x v="0"/>
    <x v="0"/>
    <n v="0"/>
    <n v="0"/>
    <n v="21.172000000000001"/>
    <n v="21.172000000000001"/>
    <n v="21.172000000000001"/>
    <n v="21.172000000000001"/>
    <n v="9"/>
    <x v="0"/>
    <n v="0"/>
    <n v="0"/>
    <n v="42"/>
    <n v="50"/>
    <n v="0"/>
    <n v="384.85"/>
    <n v="248.09"/>
    <m/>
    <n v="486.0916419076849"/>
    <n v="192.10069561515587"/>
    <n v="0"/>
    <n v="8148.0442000000003"/>
    <n v="5252.5614800000003"/>
    <n v="0"/>
    <n v="10291.532242469506"/>
    <n v="4067.1559275640802"/>
  </r>
  <r>
    <s v="Regular"/>
    <x v="2"/>
    <x v="0"/>
    <x v="3"/>
    <x v="5"/>
    <x v="0"/>
    <x v="0"/>
    <x v="0"/>
    <x v="1"/>
    <n v="0"/>
    <n v="0"/>
    <n v="106.105"/>
    <n v="106.105"/>
    <n v="106.105"/>
    <n v="106.105"/>
    <n v="38"/>
    <x v="0"/>
    <n v="0"/>
    <n v="0"/>
    <n v="42"/>
    <n v="50"/>
    <n v="0"/>
    <n v="384.85"/>
    <n v="248.09"/>
    <m/>
    <n v="486.0916419076849"/>
    <n v="192.10069561515587"/>
    <n v="0"/>
    <n v="40834.509250000003"/>
    <n v="26323.589450000003"/>
    <n v="0"/>
    <n v="51576.753664614909"/>
    <n v="20382.844308246116"/>
  </r>
  <r>
    <s v="Sistema de Compensação"/>
    <x v="2"/>
    <x v="0"/>
    <x v="3"/>
    <x v="5"/>
    <x v="0"/>
    <x v="0"/>
    <x v="0"/>
    <x v="1"/>
    <n v="0"/>
    <n v="0"/>
    <n v="22.609000000000002"/>
    <n v="22.609000000000002"/>
    <n v="22.609000000000002"/>
    <n v="22.609000000000002"/>
    <n v="9"/>
    <x v="0"/>
    <n v="0"/>
    <n v="0"/>
    <n v="42"/>
    <n v="50"/>
    <n v="0"/>
    <n v="384.85"/>
    <n v="248.09"/>
    <m/>
    <n v="486.0916419076849"/>
    <n v="192.10069561515587"/>
    <n v="0"/>
    <n v="8701.0736500000021"/>
    <n v="5609.0668100000003"/>
    <n v="0"/>
    <n v="10990.045931890849"/>
    <n v="4343.2046271630597"/>
  </r>
  <r>
    <s v="Regular"/>
    <x v="2"/>
    <x v="0"/>
    <x v="3"/>
    <x v="5"/>
    <x v="0"/>
    <x v="0"/>
    <x v="0"/>
    <x v="2"/>
    <n v="0"/>
    <n v="0"/>
    <n v="77.126000000000005"/>
    <n v="77.126000000000005"/>
    <n v="77.126000000000005"/>
    <n v="77.126000000000005"/>
    <n v="38"/>
    <x v="0"/>
    <n v="0"/>
    <n v="0"/>
    <n v="42"/>
    <n v="50"/>
    <n v="0"/>
    <n v="384.85"/>
    <n v="248.09"/>
    <m/>
    <n v="486.0916419076849"/>
    <n v="192.10069561515587"/>
    <n v="0"/>
    <n v="29681.941100000004"/>
    <n v="19134.189340000001"/>
    <n v="0"/>
    <n v="37490.303973772105"/>
    <n v="14815.958250014513"/>
  </r>
  <r>
    <s v="Sistema de Compensação"/>
    <x v="2"/>
    <x v="0"/>
    <x v="3"/>
    <x v="5"/>
    <x v="0"/>
    <x v="0"/>
    <x v="0"/>
    <x v="2"/>
    <n v="0"/>
    <n v="0"/>
    <n v="23.321000000000002"/>
    <n v="23.321000000000002"/>
    <n v="23.321000000000002"/>
    <n v="23.321000000000002"/>
    <n v="9"/>
    <x v="0"/>
    <n v="0"/>
    <n v="0"/>
    <n v="42"/>
    <n v="50"/>
    <n v="0"/>
    <n v="384.85"/>
    <n v="248.09"/>
    <m/>
    <n v="486.0916419076849"/>
    <n v="192.10069561515587"/>
    <n v="0"/>
    <n v="8975.0868500000015"/>
    <n v="5785.7068900000004"/>
    <n v="0"/>
    <n v="11336.143180929121"/>
    <n v="4479.9803224410507"/>
  </r>
  <r>
    <s v="Regular"/>
    <x v="2"/>
    <x v="0"/>
    <x v="3"/>
    <x v="5"/>
    <x v="0"/>
    <x v="0"/>
    <x v="0"/>
    <x v="3"/>
    <n v="0"/>
    <n v="0"/>
    <n v="96.763999999999996"/>
    <n v="96.763999999999996"/>
    <n v="96.763999999999996"/>
    <n v="96.763999999999996"/>
    <n v="38"/>
    <x v="0"/>
    <n v="0"/>
    <n v="0"/>
    <n v="42"/>
    <n v="50"/>
    <n v="0"/>
    <n v="384.85"/>
    <n v="248.09"/>
    <m/>
    <n v="486.0916419076849"/>
    <n v="192.10069561515587"/>
    <n v="0"/>
    <n v="37239.625399999997"/>
    <n v="24006.180759999999"/>
    <n v="0"/>
    <n v="47036.171637555221"/>
    <n v="18588.431710504941"/>
  </r>
  <r>
    <s v="Sistema de Compensação"/>
    <x v="2"/>
    <x v="0"/>
    <x v="3"/>
    <x v="5"/>
    <x v="0"/>
    <x v="0"/>
    <x v="0"/>
    <x v="3"/>
    <n v="0"/>
    <n v="0"/>
    <n v="22.715"/>
    <n v="22.715"/>
    <n v="22.715"/>
    <n v="22.715"/>
    <n v="11"/>
    <x v="0"/>
    <n v="0"/>
    <n v="0"/>
    <n v="42"/>
    <n v="50"/>
    <n v="0"/>
    <n v="384.85"/>
    <n v="248.09"/>
    <m/>
    <n v="486.0916419076849"/>
    <n v="192.10069561515587"/>
    <n v="0"/>
    <n v="8741.8677500000013"/>
    <n v="5635.3643499999998"/>
    <n v="0"/>
    <n v="11041.571645933063"/>
    <n v="4363.5673008982658"/>
  </r>
  <r>
    <s v="Regular"/>
    <x v="2"/>
    <x v="0"/>
    <x v="3"/>
    <x v="5"/>
    <x v="0"/>
    <x v="0"/>
    <x v="0"/>
    <x v="4"/>
    <n v="0"/>
    <n v="0"/>
    <n v="94.58"/>
    <n v="94.58"/>
    <n v="94.58"/>
    <n v="94.58"/>
    <n v="38"/>
    <x v="0"/>
    <n v="0"/>
    <n v="0"/>
    <n v="42"/>
    <n v="50"/>
    <n v="0"/>
    <n v="384.85"/>
    <n v="248.09"/>
    <m/>
    <n v="486.0916419076849"/>
    <n v="192.10069561515587"/>
    <n v="0"/>
    <n v="36399.113000000005"/>
    <n v="23464.352200000001"/>
    <n v="0"/>
    <n v="45974.547491628837"/>
    <n v="18168.883791281442"/>
  </r>
  <r>
    <s v="Sistema de Compensação"/>
    <x v="2"/>
    <x v="0"/>
    <x v="3"/>
    <x v="5"/>
    <x v="0"/>
    <x v="0"/>
    <x v="0"/>
    <x v="4"/>
    <n v="0"/>
    <n v="0"/>
    <n v="27.481999999999999"/>
    <n v="27.481999999999999"/>
    <n v="27.481999999999999"/>
    <n v="27.481999999999999"/>
    <n v="11"/>
    <x v="0"/>
    <n v="0"/>
    <n v="0"/>
    <n v="42"/>
    <n v="50"/>
    <n v="0"/>
    <n v="384.85"/>
    <n v="248.09"/>
    <m/>
    <n v="486.0916419076849"/>
    <n v="192.10069561515587"/>
    <n v="0"/>
    <n v="10576.447700000001"/>
    <n v="6818.0093799999995"/>
    <n v="0"/>
    <n v="13358.770502906997"/>
    <n v="5279.3113168957134"/>
  </r>
  <r>
    <s v="Regular"/>
    <x v="2"/>
    <x v="0"/>
    <x v="3"/>
    <x v="5"/>
    <x v="0"/>
    <x v="0"/>
    <x v="0"/>
    <x v="5"/>
    <n v="0"/>
    <n v="0"/>
    <n v="95.132000000000005"/>
    <n v="95.132000000000005"/>
    <n v="95.132000000000005"/>
    <n v="95.132000000000005"/>
    <n v="39"/>
    <x v="0"/>
    <n v="0"/>
    <n v="0"/>
    <n v="42"/>
    <n v="50"/>
    <n v="0"/>
    <n v="384.85"/>
    <n v="248.09"/>
    <m/>
    <n v="486.0916419076849"/>
    <n v="192.10069561515587"/>
    <n v="0"/>
    <n v="36611.550200000005"/>
    <n v="23601.297880000002"/>
    <n v="0"/>
    <n v="46242.870077961881"/>
    <n v="18274.923375261009"/>
  </r>
  <r>
    <s v="Sistema de Compensação"/>
    <x v="2"/>
    <x v="0"/>
    <x v="3"/>
    <x v="5"/>
    <x v="0"/>
    <x v="0"/>
    <x v="0"/>
    <x v="5"/>
    <n v="0"/>
    <n v="0"/>
    <n v="25.611000000000001"/>
    <n v="25.611000000000001"/>
    <n v="25.611000000000001"/>
    <n v="25.611000000000001"/>
    <n v="11"/>
    <x v="0"/>
    <n v="0"/>
    <n v="0"/>
    <n v="42"/>
    <n v="50"/>
    <n v="0"/>
    <n v="384.85"/>
    <n v="248.09"/>
    <m/>
    <n v="486.0916419076849"/>
    <n v="192.10069561515587"/>
    <n v="0"/>
    <n v="9856.3933500000003"/>
    <n v="6353.8329899999999"/>
    <n v="0"/>
    <n v="12449.293040897719"/>
    <n v="4919.8909153997574"/>
  </r>
  <r>
    <s v="Regular"/>
    <x v="2"/>
    <x v="0"/>
    <x v="3"/>
    <x v="5"/>
    <x v="0"/>
    <x v="0"/>
    <x v="0"/>
    <x v="6"/>
    <n v="0"/>
    <n v="0"/>
    <n v="101.538"/>
    <n v="101.538"/>
    <n v="101.538"/>
    <n v="101.538"/>
    <n v="39"/>
    <x v="0"/>
    <n v="0"/>
    <n v="0"/>
    <n v="42"/>
    <n v="50"/>
    <n v="0"/>
    <n v="384.85"/>
    <n v="248.09"/>
    <m/>
    <n v="486.0916419076849"/>
    <n v="192.10069561515587"/>
    <n v="0"/>
    <n v="39076.899300000005"/>
    <n v="25190.562419999998"/>
    <n v="0"/>
    <n v="49356.773136022508"/>
    <n v="19505.520431371697"/>
  </r>
  <r>
    <s v="Sistema de Compensação"/>
    <x v="2"/>
    <x v="0"/>
    <x v="3"/>
    <x v="5"/>
    <x v="0"/>
    <x v="0"/>
    <x v="0"/>
    <x v="6"/>
    <n v="0"/>
    <n v="0"/>
    <n v="28.706"/>
    <n v="28.706"/>
    <n v="28.706"/>
    <n v="28.706"/>
    <n v="12"/>
    <x v="0"/>
    <n v="0"/>
    <n v="0"/>
    <n v="42"/>
    <n v="50"/>
    <n v="0"/>
    <n v="384.85"/>
    <n v="248.09"/>
    <m/>
    <n v="486.0916419076849"/>
    <n v="192.10069561515587"/>
    <n v="0"/>
    <n v="11047.5041"/>
    <n v="7121.6715400000003"/>
    <n v="0"/>
    <n v="13953.746672602003"/>
    <n v="5514.4425683286645"/>
  </r>
  <r>
    <s v="Regular"/>
    <x v="2"/>
    <x v="0"/>
    <x v="3"/>
    <x v="5"/>
    <x v="0"/>
    <x v="0"/>
    <x v="0"/>
    <x v="7"/>
    <n v="0"/>
    <n v="0"/>
    <n v="105.83799999999999"/>
    <n v="105.83799999999999"/>
    <n v="105.83799999999999"/>
    <n v="105.83799999999999"/>
    <n v="39"/>
    <x v="0"/>
    <n v="0"/>
    <n v="0"/>
    <n v="42"/>
    <n v="50"/>
    <n v="0"/>
    <n v="384.85"/>
    <n v="248.09"/>
    <m/>
    <n v="486.0916419076849"/>
    <n v="192.10069561515587"/>
    <n v="0"/>
    <n v="40731.754300000001"/>
    <n v="26257.349419999999"/>
    <n v="0"/>
    <n v="51446.967196225552"/>
    <n v="20331.553422516867"/>
  </r>
  <r>
    <s v="Sistema de Compensação"/>
    <x v="2"/>
    <x v="0"/>
    <x v="3"/>
    <x v="5"/>
    <x v="0"/>
    <x v="0"/>
    <x v="0"/>
    <x v="7"/>
    <n v="0"/>
    <n v="0"/>
    <n v="24.542999999999999"/>
    <n v="24.542999999999999"/>
    <n v="24.542999999999999"/>
    <n v="24.542999999999999"/>
    <n v="12"/>
    <x v="0"/>
    <n v="0"/>
    <n v="0"/>
    <n v="42"/>
    <n v="50"/>
    <n v="0"/>
    <n v="384.85"/>
    <n v="248.09"/>
    <m/>
    <n v="486.0916419076849"/>
    <n v="192.10069561515587"/>
    <n v="0"/>
    <n v="9445.3735500000003"/>
    <n v="6088.8728700000001"/>
    <n v="0"/>
    <n v="11930.14716734031"/>
    <n v="4714.7273724827701"/>
  </r>
  <r>
    <s v="Regular"/>
    <x v="2"/>
    <x v="0"/>
    <x v="3"/>
    <x v="5"/>
    <x v="0"/>
    <x v="0"/>
    <x v="0"/>
    <x v="8"/>
    <n v="0"/>
    <n v="0"/>
    <n v="105.145"/>
    <n v="105.145"/>
    <n v="105.145"/>
    <n v="105.145"/>
    <n v="39"/>
    <x v="0"/>
    <n v="0"/>
    <n v="0"/>
    <n v="42"/>
    <n v="50"/>
    <n v="0"/>
    <n v="384.85"/>
    <n v="248.09"/>
    <m/>
    <n v="486.0916419076849"/>
    <n v="192.10069561515587"/>
    <n v="0"/>
    <n v="40465.053250000004"/>
    <n v="26085.423049999998"/>
    <n v="0"/>
    <n v="51110.105688383526"/>
    <n v="20198.427640455564"/>
  </r>
  <r>
    <s v="Sistema de Compensação"/>
    <x v="2"/>
    <x v="0"/>
    <x v="3"/>
    <x v="5"/>
    <x v="0"/>
    <x v="0"/>
    <x v="0"/>
    <x v="8"/>
    <n v="0"/>
    <n v="0"/>
    <n v="22.960999999999999"/>
    <n v="22.960999999999999"/>
    <n v="22.960999999999999"/>
    <n v="22.960999999999999"/>
    <n v="12"/>
    <x v="0"/>
    <n v="0"/>
    <n v="0"/>
    <n v="42"/>
    <n v="50"/>
    <n v="0"/>
    <n v="384.85"/>
    <n v="248.09"/>
    <m/>
    <n v="486.0916419076849"/>
    <n v="192.10069561515587"/>
    <n v="0"/>
    <n v="8836.5408499999994"/>
    <n v="5696.3944899999997"/>
    <n v="0"/>
    <n v="11161.150189842352"/>
    <n v="4410.8240720195936"/>
  </r>
  <r>
    <s v="Regular"/>
    <x v="2"/>
    <x v="0"/>
    <x v="3"/>
    <x v="5"/>
    <x v="0"/>
    <x v="0"/>
    <x v="0"/>
    <x v="9"/>
    <n v="0"/>
    <n v="0"/>
    <n v="111.16500000000001"/>
    <n v="111.16500000000001"/>
    <n v="111.16500000000001"/>
    <n v="111.16500000000001"/>
    <n v="39"/>
    <x v="0"/>
    <n v="0"/>
    <n v="0"/>
    <n v="42"/>
    <n v="50"/>
    <n v="0"/>
    <n v="384.85"/>
    <n v="248.09"/>
    <m/>
    <n v="486.0916419076849"/>
    <n v="192.10069561515587"/>
    <n v="0"/>
    <n v="42781.850250000003"/>
    <n v="27578.924850000003"/>
    <n v="0"/>
    <n v="54036.377372667797"/>
    <n v="21354.873828058804"/>
  </r>
  <r>
    <s v="Sistema de Compensação"/>
    <x v="2"/>
    <x v="0"/>
    <x v="3"/>
    <x v="5"/>
    <x v="0"/>
    <x v="0"/>
    <x v="0"/>
    <x v="9"/>
    <n v="0"/>
    <n v="0"/>
    <n v="23.382999999999999"/>
    <n v="23.382999999999999"/>
    <n v="23.382999999999999"/>
    <n v="23.382999999999999"/>
    <n v="12"/>
    <x v="0"/>
    <n v="0"/>
    <n v="0"/>
    <n v="42"/>
    <n v="50"/>
    <n v="0"/>
    <n v="384.85"/>
    <n v="248.09"/>
    <m/>
    <n v="486.0916419076849"/>
    <n v="192.10069561515587"/>
    <n v="0"/>
    <n v="8998.9475500000008"/>
    <n v="5801.0884699999997"/>
    <n v="0"/>
    <n v="11366.280862727395"/>
    <n v="4491.8905655691897"/>
  </r>
  <r>
    <s v="Regular"/>
    <x v="2"/>
    <x v="0"/>
    <x v="3"/>
    <x v="5"/>
    <x v="0"/>
    <x v="0"/>
    <x v="0"/>
    <x v="10"/>
    <n v="0"/>
    <n v="0"/>
    <n v="93.433999999999997"/>
    <n v="93.433999999999997"/>
    <n v="93.433999999999997"/>
    <n v="93.433999999999997"/>
    <n v="40"/>
    <x v="0"/>
    <n v="0"/>
    <n v="0"/>
    <n v="42"/>
    <n v="50"/>
    <n v="0"/>
    <n v="384.85"/>
    <n v="248.09"/>
    <m/>
    <n v="486.0916419076849"/>
    <n v="192.10069561515587"/>
    <n v="0"/>
    <n v="35958.0749"/>
    <n v="23180.04106"/>
    <n v="0"/>
    <n v="45417.48647000263"/>
    <n v="17948.736394106472"/>
  </r>
  <r>
    <s v="Sistema de Compensação"/>
    <x v="2"/>
    <x v="0"/>
    <x v="3"/>
    <x v="5"/>
    <x v="0"/>
    <x v="0"/>
    <x v="0"/>
    <x v="10"/>
    <n v="0"/>
    <n v="0"/>
    <n v="23.619"/>
    <n v="23.619"/>
    <n v="23.619"/>
    <n v="23.619"/>
    <n v="12"/>
    <x v="0"/>
    <n v="0"/>
    <n v="0"/>
    <n v="42"/>
    <n v="50"/>
    <n v="0"/>
    <n v="384.85"/>
    <n v="248.09"/>
    <m/>
    <n v="486.0916419076849"/>
    <n v="192.10069561515587"/>
    <n v="0"/>
    <n v="9089.7721500000007"/>
    <n v="5859.63771"/>
    <n v="0"/>
    <n v="11480.998490217609"/>
    <n v="4537.2263297343661"/>
  </r>
  <r>
    <s v="Regular"/>
    <x v="2"/>
    <x v="0"/>
    <x v="3"/>
    <x v="5"/>
    <x v="0"/>
    <x v="0"/>
    <x v="0"/>
    <x v="11"/>
    <n v="0"/>
    <n v="0"/>
    <n v="108.60299999999999"/>
    <n v="108.60299999999999"/>
    <n v="108.60299999999999"/>
    <n v="108.60299999999999"/>
    <n v="40"/>
    <x v="0"/>
    <n v="0"/>
    <n v="0"/>
    <n v="42"/>
    <n v="50"/>
    <n v="0"/>
    <n v="384.85"/>
    <n v="248.09"/>
    <m/>
    <n v="486.0916419076849"/>
    <n v="192.10069561515587"/>
    <n v="0"/>
    <n v="41795.864549999998"/>
    <n v="26943.31827"/>
    <n v="0"/>
    <n v="52791.010586100303"/>
    <n v="20862.711845892773"/>
  </r>
  <r>
    <s v="Sistema de Compensação"/>
    <x v="2"/>
    <x v="0"/>
    <x v="3"/>
    <x v="5"/>
    <x v="0"/>
    <x v="0"/>
    <x v="0"/>
    <x v="11"/>
    <n v="0"/>
    <n v="0"/>
    <n v="24.498999999999999"/>
    <n v="24.498999999999999"/>
    <n v="24.498999999999999"/>
    <n v="24.498999999999999"/>
    <n v="12"/>
    <x v="0"/>
    <n v="0"/>
    <n v="0"/>
    <n v="42"/>
    <n v="50"/>
    <n v="0"/>
    <n v="384.85"/>
    <n v="248.09"/>
    <m/>
    <n v="486.0916419076849"/>
    <n v="192.10069561515587"/>
    <n v="0"/>
    <n v="9428.4401500000004"/>
    <n v="6077.9569099999999"/>
    <n v="0"/>
    <n v="11908.759135096372"/>
    <n v="4706.274941875703"/>
  </r>
  <r>
    <s v="Regular"/>
    <x v="2"/>
    <x v="0"/>
    <x v="4"/>
    <x v="5"/>
    <x v="0"/>
    <x v="0"/>
    <x v="0"/>
    <x v="0"/>
    <n v="0"/>
    <n v="0"/>
    <n v="28.626000000000001"/>
    <n v="28.626000000000001"/>
    <n v="28.626000000000001"/>
    <n v="28.626000000000001"/>
    <n v="72"/>
    <x v="0"/>
    <n v="0"/>
    <n v="0"/>
    <n v="42"/>
    <n v="50"/>
    <n v="0"/>
    <n v="384.85"/>
    <n v="248.09"/>
    <m/>
    <n v="486.0916419076849"/>
    <n v="192.10069561515587"/>
    <n v="0"/>
    <n v="11016.716100000001"/>
    <n v="7101.8243400000001"/>
    <n v="0"/>
    <n v="13914.859341249388"/>
    <n v="5499.0745126794518"/>
  </r>
  <r>
    <s v="Regular"/>
    <x v="2"/>
    <x v="0"/>
    <x v="4"/>
    <x v="5"/>
    <x v="0"/>
    <x v="0"/>
    <x v="0"/>
    <x v="1"/>
    <n v="0"/>
    <n v="0"/>
    <n v="30.797999999999998"/>
    <n v="30.797999999999998"/>
    <n v="30.797999999999998"/>
    <n v="30.797999999999998"/>
    <n v="72"/>
    <x v="0"/>
    <n v="0"/>
    <n v="0"/>
    <n v="42"/>
    <n v="50"/>
    <n v="0"/>
    <n v="384.85"/>
    <n v="248.09"/>
    <m/>
    <n v="486.0916419076849"/>
    <n v="192.10069561515587"/>
    <n v="0"/>
    <n v="11852.6103"/>
    <n v="7640.6758199999995"/>
    <n v="0"/>
    <n v="14970.650387472879"/>
    <n v="5916.3172235555703"/>
  </r>
  <r>
    <s v="Regular"/>
    <x v="2"/>
    <x v="0"/>
    <x v="4"/>
    <x v="5"/>
    <x v="0"/>
    <x v="0"/>
    <x v="0"/>
    <x v="2"/>
    <n v="0"/>
    <n v="0"/>
    <n v="26.632999999999999"/>
    <n v="26.632999999999999"/>
    <n v="26.632999999999999"/>
    <n v="26.632999999999999"/>
    <n v="72"/>
    <x v="0"/>
    <n v="0"/>
    <n v="0"/>
    <n v="42"/>
    <n v="50"/>
    <n v="0"/>
    <n v="384.85"/>
    <n v="248.09"/>
    <m/>
    <n v="486.0916419076849"/>
    <n v="192.10069561515587"/>
    <n v="0"/>
    <n v="10249.71005"/>
    <n v="6607.3809700000002"/>
    <n v="0"/>
    <n v="12946.078698927371"/>
    <n v="5116.217826318446"/>
  </r>
  <r>
    <s v="Regular"/>
    <x v="2"/>
    <x v="0"/>
    <x v="4"/>
    <x v="5"/>
    <x v="0"/>
    <x v="0"/>
    <x v="0"/>
    <x v="3"/>
    <n v="0"/>
    <n v="0"/>
    <n v="27.082000000000001"/>
    <n v="27.082000000000001"/>
    <n v="27.082000000000001"/>
    <n v="27.082000000000001"/>
    <n v="72"/>
    <x v="0"/>
    <n v="0"/>
    <n v="0"/>
    <n v="42"/>
    <n v="50"/>
    <n v="0"/>
    <n v="384.85"/>
    <n v="248.09"/>
    <m/>
    <n v="486.0916419076849"/>
    <n v="192.10069561515587"/>
    <n v="0"/>
    <n v="10422.5077"/>
    <n v="6718.7733800000005"/>
    <n v="0"/>
    <n v="13164.333846143923"/>
    <n v="5202.4710386496517"/>
  </r>
  <r>
    <s v="Regular"/>
    <x v="2"/>
    <x v="0"/>
    <x v="4"/>
    <x v="5"/>
    <x v="0"/>
    <x v="0"/>
    <x v="0"/>
    <x v="4"/>
    <n v="0"/>
    <n v="0"/>
    <n v="33.36"/>
    <n v="33.36"/>
    <n v="33.36"/>
    <n v="33.36"/>
    <n v="71"/>
    <x v="0"/>
    <n v="0"/>
    <n v="0"/>
    <n v="42"/>
    <n v="50"/>
    <n v="0"/>
    <n v="384.85"/>
    <n v="248.09"/>
    <m/>
    <n v="486.0916419076849"/>
    <n v="192.10069561515587"/>
    <n v="0"/>
    <n v="12838.596000000001"/>
    <n v="8276.2824000000001"/>
    <n v="0"/>
    <n v="16216.017174040368"/>
    <n v="6408.4792057216"/>
  </r>
  <r>
    <s v="Regular"/>
    <x v="2"/>
    <x v="0"/>
    <x v="4"/>
    <x v="5"/>
    <x v="0"/>
    <x v="0"/>
    <x v="0"/>
    <x v="5"/>
    <n v="0"/>
    <n v="0"/>
    <n v="34.479999999999997"/>
    <n v="34.479999999999997"/>
    <n v="34.479999999999997"/>
    <n v="34.479999999999997"/>
    <n v="71"/>
    <x v="0"/>
    <n v="0"/>
    <n v="0"/>
    <n v="42"/>
    <n v="50"/>
    <n v="0"/>
    <n v="384.85"/>
    <n v="248.09"/>
    <m/>
    <n v="486.0916419076849"/>
    <n v="192.10069561515587"/>
    <n v="0"/>
    <n v="13269.627999999999"/>
    <n v="8554.1431999999986"/>
    <n v="0"/>
    <n v="16760.439812976972"/>
    <n v="6623.6319848105741"/>
  </r>
  <r>
    <s v="Regular"/>
    <x v="2"/>
    <x v="0"/>
    <x v="4"/>
    <x v="5"/>
    <x v="0"/>
    <x v="0"/>
    <x v="0"/>
    <x v="6"/>
    <n v="0"/>
    <n v="0"/>
    <n v="28.722000000000001"/>
    <n v="28.722000000000001"/>
    <n v="28.722000000000001"/>
    <n v="28.722000000000001"/>
    <n v="72"/>
    <x v="0"/>
    <n v="0"/>
    <n v="0"/>
    <n v="42"/>
    <n v="50"/>
    <n v="0"/>
    <n v="384.85"/>
    <n v="248.09"/>
    <m/>
    <n v="486.0916419076849"/>
    <n v="192.10069561515587"/>
    <n v="0"/>
    <n v="11053.661700000001"/>
    <n v="7125.6409800000001"/>
    <n v="0"/>
    <n v="13961.524138872526"/>
    <n v="5517.5161794585074"/>
  </r>
  <r>
    <s v="Regular"/>
    <x v="2"/>
    <x v="0"/>
    <x v="4"/>
    <x v="5"/>
    <x v="0"/>
    <x v="0"/>
    <x v="0"/>
    <x v="7"/>
    <n v="0"/>
    <n v="0"/>
    <n v="28.422999999999998"/>
    <n v="28.422999999999998"/>
    <n v="28.422999999999998"/>
    <n v="28.422999999999998"/>
    <n v="72"/>
    <x v="0"/>
    <n v="0"/>
    <n v="0"/>
    <n v="42"/>
    <n v="50"/>
    <n v="0"/>
    <n v="384.85"/>
    <n v="248.09"/>
    <m/>
    <n v="486.0916419076849"/>
    <n v="192.10069561515587"/>
    <n v="0"/>
    <n v="10938.591549999999"/>
    <n v="7051.4620699999996"/>
    <n v="0"/>
    <n v="13816.182737942127"/>
    <n v="5460.0780714695748"/>
  </r>
  <r>
    <s v="Regular"/>
    <x v="2"/>
    <x v="0"/>
    <x v="4"/>
    <x v="5"/>
    <x v="0"/>
    <x v="0"/>
    <x v="0"/>
    <x v="8"/>
    <n v="0"/>
    <n v="0"/>
    <n v="31.510999999999999"/>
    <n v="31.510999999999999"/>
    <n v="31.510999999999999"/>
    <n v="31.510999999999999"/>
    <n v="71"/>
    <x v="0"/>
    <n v="0"/>
    <n v="0"/>
    <n v="42"/>
    <n v="50"/>
    <n v="0"/>
    <n v="384.85"/>
    <n v="248.09"/>
    <m/>
    <n v="486.0916419076849"/>
    <n v="192.10069561515587"/>
    <n v="0"/>
    <n v="12127.00835"/>
    <n v="7817.5639899999996"/>
    <n v="0"/>
    <n v="15317.233728153058"/>
    <n v="6053.2850195291767"/>
  </r>
  <r>
    <s v="Regular"/>
    <x v="2"/>
    <x v="0"/>
    <x v="4"/>
    <x v="5"/>
    <x v="0"/>
    <x v="0"/>
    <x v="0"/>
    <x v="9"/>
    <n v="0"/>
    <n v="0"/>
    <n v="27.742000000000001"/>
    <n v="27.742000000000001"/>
    <n v="27.742000000000001"/>
    <n v="27.742000000000001"/>
    <n v="71"/>
    <x v="0"/>
    <n v="0"/>
    <n v="0"/>
    <n v="42"/>
    <n v="50"/>
    <n v="0"/>
    <n v="384.85"/>
    <n v="248.09"/>
    <m/>
    <n v="486.0916419076849"/>
    <n v="192.10069561515587"/>
    <n v="0"/>
    <n v="10676.5087"/>
    <n v="6882.51278"/>
    <n v="0"/>
    <n v="13485.154329802996"/>
    <n v="5329.2574977556542"/>
  </r>
  <r>
    <s v="Regular"/>
    <x v="2"/>
    <x v="0"/>
    <x v="4"/>
    <x v="5"/>
    <x v="0"/>
    <x v="0"/>
    <x v="0"/>
    <x v="10"/>
    <n v="0"/>
    <n v="0"/>
    <n v="31.645"/>
    <n v="31.645"/>
    <n v="31.645"/>
    <n v="31.645"/>
    <n v="71"/>
    <x v="0"/>
    <n v="0"/>
    <n v="0"/>
    <n v="42"/>
    <n v="50"/>
    <n v="0"/>
    <n v="384.85"/>
    <n v="248.09"/>
    <m/>
    <n v="486.0916419076849"/>
    <n v="192.10069561515587"/>
    <n v="0"/>
    <n v="12178.57825"/>
    <n v="7850.8080499999996"/>
    <n v="0"/>
    <n v="15382.370008168689"/>
    <n v="6079.0265127416078"/>
  </r>
  <r>
    <s v="Regular"/>
    <x v="2"/>
    <x v="0"/>
    <x v="4"/>
    <x v="5"/>
    <x v="0"/>
    <x v="0"/>
    <x v="0"/>
    <x v="11"/>
    <n v="0"/>
    <n v="0"/>
    <n v="29.611999999999998"/>
    <n v="29.611999999999998"/>
    <n v="29.611999999999998"/>
    <n v="29.611999999999998"/>
    <n v="71"/>
    <x v="0"/>
    <n v="0"/>
    <n v="0"/>
    <n v="42"/>
    <n v="50"/>
    <n v="0"/>
    <n v="384.85"/>
    <n v="248.09"/>
    <m/>
    <n v="486.0916419076849"/>
    <n v="192.10069561515587"/>
    <n v="0"/>
    <n v="11396.1782"/>
    <n v="7346.4410799999996"/>
    <n v="0"/>
    <n v="14394.145700170364"/>
    <n v="5688.4857985559956"/>
  </r>
  <r>
    <s v="Regular"/>
    <x v="2"/>
    <x v="0"/>
    <x v="5"/>
    <x v="6"/>
    <x v="0"/>
    <x v="0"/>
    <x v="0"/>
    <x v="0"/>
    <n v="0"/>
    <n v="0"/>
    <n v="0.96799999999999997"/>
    <n v="0.90991999999999995"/>
    <n v="0.96799999999999997"/>
    <n v="0.90991999999999995"/>
    <n v="3"/>
    <x v="0"/>
    <n v="0"/>
    <n v="0"/>
    <n v="42"/>
    <n v="50"/>
    <n v="0"/>
    <n v="384.85"/>
    <n v="248.09"/>
    <m/>
    <n v="486.0916419076849"/>
    <n v="192.10069561515587"/>
    <n v="0"/>
    <n v="350.18271199999998"/>
    <n v="225.74205279999998"/>
    <n v="0"/>
    <n v="442.3045068046406"/>
    <n v="174.79626495414263"/>
  </r>
  <r>
    <s v="Regular"/>
    <x v="2"/>
    <x v="0"/>
    <x v="5"/>
    <x v="6"/>
    <x v="0"/>
    <x v="0"/>
    <x v="0"/>
    <x v="1"/>
    <n v="0"/>
    <n v="0"/>
    <n v="1.024"/>
    <n v="0.96255999999999997"/>
    <n v="1.024"/>
    <n v="0.96255999999999997"/>
    <n v="3"/>
    <x v="0"/>
    <n v="0"/>
    <n v="0"/>
    <n v="42"/>
    <n v="50"/>
    <n v="0"/>
    <n v="384.85"/>
    <n v="248.09"/>
    <m/>
    <n v="486.0916419076849"/>
    <n v="192.10069561515587"/>
    <n v="0"/>
    <n v="370.441216"/>
    <n v="238.80151039999998"/>
    <n v="0"/>
    <n v="467.89237083466116"/>
    <n v="184.90844557132442"/>
  </r>
  <r>
    <s v="Regular"/>
    <x v="2"/>
    <x v="0"/>
    <x v="5"/>
    <x v="6"/>
    <x v="0"/>
    <x v="0"/>
    <x v="0"/>
    <x v="2"/>
    <n v="0"/>
    <n v="0"/>
    <n v="1.095"/>
    <n v="1.0292999999999999"/>
    <n v="1.095"/>
    <n v="1.0292999999999999"/>
    <n v="3"/>
    <x v="0"/>
    <n v="0"/>
    <n v="0"/>
    <n v="42"/>
    <n v="50"/>
    <n v="0"/>
    <n v="384.85"/>
    <n v="248.09"/>
    <m/>
    <n v="486.0916419076849"/>
    <n v="192.10069561515587"/>
    <n v="0"/>
    <n v="396.126105"/>
    <n v="255.35903699999997"/>
    <n v="0"/>
    <n v="500.33412701558001"/>
    <n v="197.72924599667991"/>
  </r>
  <r>
    <s v="Regular"/>
    <x v="2"/>
    <x v="0"/>
    <x v="5"/>
    <x v="6"/>
    <x v="0"/>
    <x v="0"/>
    <x v="0"/>
    <x v="3"/>
    <n v="0"/>
    <n v="0"/>
    <n v="0.95699999999999996"/>
    <n v="0.89957999999999994"/>
    <n v="0.95699999999999996"/>
    <n v="0.89957999999999994"/>
    <n v="3"/>
    <x v="0"/>
    <n v="0"/>
    <n v="0"/>
    <n v="42"/>
    <n v="50"/>
    <n v="0"/>
    <n v="384.85"/>
    <n v="248.09"/>
    <m/>
    <n v="486.0916419076849"/>
    <n v="192.10069561515587"/>
    <n v="0"/>
    <n v="346.20336299999997"/>
    <n v="223.1768022"/>
    <n v="0"/>
    <n v="437.27831922731514"/>
    <n v="172.80994376148192"/>
  </r>
  <r>
    <s v="Regular"/>
    <x v="2"/>
    <x v="0"/>
    <x v="5"/>
    <x v="6"/>
    <x v="0"/>
    <x v="0"/>
    <x v="0"/>
    <x v="4"/>
    <n v="0"/>
    <n v="0"/>
    <n v="1.0089999999999999"/>
    <n v="0.94845999999999986"/>
    <n v="1.0089999999999999"/>
    <n v="0.94845999999999986"/>
    <n v="3"/>
    <x v="0"/>
    <n v="0"/>
    <n v="0"/>
    <n v="42"/>
    <n v="50"/>
    <n v="0"/>
    <n v="384.85"/>
    <n v="248.09"/>
    <m/>
    <n v="486.0916419076849"/>
    <n v="192.10069561515587"/>
    <n v="0"/>
    <n v="365.01483099999996"/>
    <n v="235.30344139999997"/>
    <n v="0"/>
    <n v="461.03847868376278"/>
    <n v="182.1998257631507"/>
  </r>
  <r>
    <s v="Regular"/>
    <x v="2"/>
    <x v="0"/>
    <x v="5"/>
    <x v="6"/>
    <x v="0"/>
    <x v="0"/>
    <x v="0"/>
    <x v="5"/>
    <n v="0"/>
    <n v="0"/>
    <n v="1.028"/>
    <n v="0.96631999999999996"/>
    <n v="1.028"/>
    <n v="0.96631999999999996"/>
    <n v="3"/>
    <x v="0"/>
    <n v="0"/>
    <n v="0"/>
    <n v="42"/>
    <n v="50"/>
    <n v="0"/>
    <n v="384.85"/>
    <n v="248.09"/>
    <m/>
    <n v="486.0916419076849"/>
    <n v="192.10069561515587"/>
    <n v="0"/>
    <n v="371.88825200000002"/>
    <n v="239.73432879999999"/>
    <n v="0"/>
    <n v="469.72007540823404"/>
    <n v="185.6307441868374"/>
  </r>
  <r>
    <s v="Regular"/>
    <x v="2"/>
    <x v="0"/>
    <x v="5"/>
    <x v="6"/>
    <x v="0"/>
    <x v="0"/>
    <x v="0"/>
    <x v="6"/>
    <n v="0"/>
    <n v="0"/>
    <n v="1.1619999999999999"/>
    <n v="1.0922799999999999"/>
    <n v="1.1619999999999999"/>
    <n v="1.0922799999999999"/>
    <n v="3"/>
    <x v="0"/>
    <n v="0"/>
    <n v="0"/>
    <n v="42"/>
    <n v="50"/>
    <n v="0"/>
    <n v="384.85"/>
    <n v="248.09"/>
    <m/>
    <n v="486.0916419076849"/>
    <n v="192.10069561515587"/>
    <n v="0"/>
    <n v="420.36395799999997"/>
    <n v="270.98374519999999"/>
    <n v="0"/>
    <n v="530.94817862292598"/>
    <n v="209.82774780652244"/>
  </r>
  <r>
    <s v="Regular"/>
    <x v="2"/>
    <x v="0"/>
    <x v="5"/>
    <x v="6"/>
    <x v="0"/>
    <x v="0"/>
    <x v="0"/>
    <x v="7"/>
    <n v="0"/>
    <n v="0"/>
    <n v="0.93"/>
    <n v="0.87419999999999998"/>
    <n v="0.93"/>
    <n v="0.87419999999999998"/>
    <n v="3"/>
    <x v="0"/>
    <n v="0"/>
    <n v="0"/>
    <n v="42"/>
    <n v="50"/>
    <n v="0"/>
    <n v="384.85"/>
    <n v="248.09"/>
    <m/>
    <n v="486.0916419076849"/>
    <n v="192.10069561515587"/>
    <n v="0"/>
    <n v="336.43587000000002"/>
    <n v="216.880278"/>
    <n v="0"/>
    <n v="424.94131335569813"/>
    <n v="167.93442810676925"/>
  </r>
  <r>
    <s v="Regular"/>
    <x v="2"/>
    <x v="0"/>
    <x v="5"/>
    <x v="6"/>
    <x v="0"/>
    <x v="0"/>
    <x v="0"/>
    <x v="8"/>
    <n v="0"/>
    <n v="0"/>
    <n v="0.749"/>
    <n v="0.70405999999999991"/>
    <n v="0.749"/>
    <n v="0.70405999999999991"/>
    <n v="3"/>
    <x v="0"/>
    <n v="0"/>
    <n v="0"/>
    <n v="42"/>
    <n v="50"/>
    <n v="0"/>
    <n v="384.85"/>
    <n v="248.09"/>
    <m/>
    <n v="486.0916419076849"/>
    <n v="192.10069561515587"/>
    <n v="0"/>
    <n v="270.957491"/>
    <n v="174.67024539999997"/>
    <n v="0"/>
    <n v="342.23768140152458"/>
    <n v="135.25041575480662"/>
  </r>
  <r>
    <s v="Regular"/>
    <x v="2"/>
    <x v="0"/>
    <x v="5"/>
    <x v="6"/>
    <x v="0"/>
    <x v="0"/>
    <x v="0"/>
    <x v="9"/>
    <n v="0"/>
    <n v="0"/>
    <n v="0.77200000000000002"/>
    <n v="0.72567999999999999"/>
    <n v="0.77200000000000002"/>
    <n v="0.72567999999999999"/>
    <n v="3"/>
    <x v="0"/>
    <n v="0"/>
    <n v="0"/>
    <n v="42"/>
    <n v="50"/>
    <n v="0"/>
    <n v="384.85"/>
    <n v="248.09"/>
    <m/>
    <n v="486.0916419076849"/>
    <n v="192.10069561515587"/>
    <n v="0"/>
    <n v="279.27794800000004"/>
    <n v="180.03395119999999"/>
    <n v="0"/>
    <n v="352.74698269956878"/>
    <n v="139.40363279400631"/>
  </r>
  <r>
    <s v="Regular"/>
    <x v="2"/>
    <x v="0"/>
    <x v="5"/>
    <x v="6"/>
    <x v="0"/>
    <x v="0"/>
    <x v="0"/>
    <x v="10"/>
    <n v="0"/>
    <n v="0"/>
    <n v="0.83299999999999996"/>
    <n v="0.78301999999999994"/>
    <n v="0.83299999999999996"/>
    <n v="0.78301999999999994"/>
    <n v="3"/>
    <x v="0"/>
    <n v="0"/>
    <n v="0"/>
    <n v="42"/>
    <n v="50"/>
    <n v="0"/>
    <n v="384.85"/>
    <n v="248.09"/>
    <m/>
    <n v="486.0916419076849"/>
    <n v="192.10069561515587"/>
    <n v="0"/>
    <n v="301.34524699999997"/>
    <n v="194.25943179999999"/>
    <n v="0"/>
    <n v="380.61947744655538"/>
    <n v="150.41868668057933"/>
  </r>
  <r>
    <s v="Regular"/>
    <x v="2"/>
    <x v="0"/>
    <x v="5"/>
    <x v="6"/>
    <x v="0"/>
    <x v="0"/>
    <x v="0"/>
    <x v="11"/>
    <n v="0"/>
    <n v="0"/>
    <n v="0.81399999999999995"/>
    <n v="0.76515999999999995"/>
    <n v="0.81399999999999995"/>
    <n v="0.76515999999999995"/>
    <n v="3"/>
    <x v="0"/>
    <n v="0"/>
    <n v="0"/>
    <n v="42"/>
    <n v="50"/>
    <n v="0"/>
    <n v="384.85"/>
    <n v="248.09"/>
    <m/>
    <n v="486.0916419076849"/>
    <n v="192.10069561515587"/>
    <n v="0"/>
    <n v="294.47182600000002"/>
    <n v="189.8285444"/>
    <n v="0"/>
    <n v="371.93788072208417"/>
    <n v="146.98776825689265"/>
  </r>
  <r>
    <s v="Regular"/>
    <x v="3"/>
    <x v="0"/>
    <x v="6"/>
    <x v="7"/>
    <x v="0"/>
    <x v="0"/>
    <x v="0"/>
    <x v="0"/>
    <n v="0"/>
    <n v="0"/>
    <n v="18.512"/>
    <n v="18.512"/>
    <n v="18.512"/>
    <n v="18.512"/>
    <n v="18"/>
    <x v="0"/>
    <n v="0"/>
    <n v="0"/>
    <n v="33"/>
    <n v="52"/>
    <n v="0"/>
    <n v="211.67"/>
    <n v="136.44999999999999"/>
    <m/>
    <n v="267.35040304922677"/>
    <n v="105.65538258833574"/>
    <n v="0"/>
    <n v="3918.4350399999998"/>
    <n v="2525.9623999999999"/>
    <n v="0"/>
    <n v="4949.1906612472858"/>
    <n v="1955.8924424752713"/>
  </r>
  <r>
    <s v="Regular"/>
    <x v="3"/>
    <x v="0"/>
    <x v="6"/>
    <x v="7"/>
    <x v="0"/>
    <x v="0"/>
    <x v="0"/>
    <x v="1"/>
    <n v="0"/>
    <n v="0"/>
    <n v="19.411000000000001"/>
    <n v="19.411000000000001"/>
    <n v="19.411000000000001"/>
    <n v="19.411000000000001"/>
    <n v="18"/>
    <x v="0"/>
    <n v="0"/>
    <n v="0"/>
    <n v="33"/>
    <n v="52"/>
    <n v="0"/>
    <n v="211.67"/>
    <n v="136.44999999999999"/>
    <m/>
    <n v="267.35040304922677"/>
    <n v="105.65538258833574"/>
    <n v="0"/>
    <n v="4108.7263700000003"/>
    <n v="2648.6309499999998"/>
    <n v="0"/>
    <n v="5189.5386735885413"/>
    <n v="2050.8766314221853"/>
  </r>
  <r>
    <s v="Regular"/>
    <x v="3"/>
    <x v="0"/>
    <x v="6"/>
    <x v="7"/>
    <x v="0"/>
    <x v="0"/>
    <x v="0"/>
    <x v="2"/>
    <n v="0"/>
    <n v="0"/>
    <n v="19.318999999999999"/>
    <n v="19.318999999999999"/>
    <n v="19.318999999999999"/>
    <n v="19.318999999999999"/>
    <n v="19"/>
    <x v="0"/>
    <n v="0"/>
    <n v="0"/>
    <n v="33"/>
    <n v="52"/>
    <n v="0"/>
    <n v="211.67"/>
    <n v="136.44999999999999"/>
    <m/>
    <n v="267.35040304922677"/>
    <n v="105.65538258833574"/>
    <n v="0"/>
    <n v="4089.2527299999997"/>
    <n v="2636.0775499999995"/>
    <n v="0"/>
    <n v="5164.9424365080113"/>
    <n v="2041.1563362240581"/>
  </r>
  <r>
    <s v="Regular"/>
    <x v="3"/>
    <x v="0"/>
    <x v="6"/>
    <x v="7"/>
    <x v="0"/>
    <x v="0"/>
    <x v="0"/>
    <x v="3"/>
    <n v="0"/>
    <n v="0"/>
    <n v="18.029"/>
    <n v="18.029"/>
    <n v="18.029"/>
    <n v="18.029"/>
    <n v="19"/>
    <x v="0"/>
    <n v="0"/>
    <n v="0"/>
    <n v="33"/>
    <n v="52"/>
    <n v="0"/>
    <n v="211.67"/>
    <n v="136.44999999999999"/>
    <m/>
    <n v="267.35040304922677"/>
    <n v="105.65538258833574"/>
    <n v="0"/>
    <n v="3816.1984299999999"/>
    <n v="2460.0570499999999"/>
    <n v="0"/>
    <n v="4820.0604165745099"/>
    <n v="1904.860892685105"/>
  </r>
  <r>
    <s v="Regular"/>
    <x v="3"/>
    <x v="0"/>
    <x v="6"/>
    <x v="7"/>
    <x v="0"/>
    <x v="0"/>
    <x v="0"/>
    <x v="4"/>
    <n v="0"/>
    <n v="0"/>
    <n v="19.922999999999998"/>
    <n v="19.922999999999998"/>
    <n v="19.922999999999998"/>
    <n v="19.922999999999998"/>
    <n v="19"/>
    <x v="0"/>
    <n v="0"/>
    <n v="0"/>
    <n v="33"/>
    <n v="52"/>
    <n v="0"/>
    <n v="211.67"/>
    <n v="136.44999999999999"/>
    <m/>
    <n v="267.35040304922677"/>
    <n v="105.65538258833574"/>
    <n v="0"/>
    <n v="4217.1014099999993"/>
    <n v="2718.4933499999997"/>
    <n v="0"/>
    <n v="5326.4220799497443"/>
    <n v="2104.9721873074127"/>
  </r>
  <r>
    <s v="Regular"/>
    <x v="3"/>
    <x v="0"/>
    <x v="6"/>
    <x v="7"/>
    <x v="0"/>
    <x v="0"/>
    <x v="0"/>
    <x v="5"/>
    <n v="0"/>
    <n v="0"/>
    <n v="23.013000000000002"/>
    <n v="23.013000000000002"/>
    <n v="23.013000000000002"/>
    <n v="23.013000000000002"/>
    <n v="19"/>
    <x v="0"/>
    <n v="0"/>
    <n v="0"/>
    <n v="33"/>
    <n v="52"/>
    <n v="0"/>
    <n v="211.67"/>
    <n v="136.44999999999999"/>
    <m/>
    <n v="267.35040304922677"/>
    <n v="105.65538258833574"/>
    <n v="0"/>
    <n v="4871.1617100000003"/>
    <n v="3140.1238499999999"/>
    <n v="0"/>
    <n v="6152.5348253718557"/>
    <n v="2431.4473195053706"/>
  </r>
  <r>
    <s v="Regular"/>
    <x v="3"/>
    <x v="0"/>
    <x v="6"/>
    <x v="7"/>
    <x v="0"/>
    <x v="0"/>
    <x v="0"/>
    <x v="6"/>
    <n v="0"/>
    <n v="0"/>
    <n v="23.071000000000002"/>
    <n v="23.071000000000002"/>
    <n v="23.071000000000002"/>
    <n v="23.071000000000002"/>
    <n v="19"/>
    <x v="0"/>
    <n v="0"/>
    <n v="0"/>
    <n v="33"/>
    <n v="52"/>
    <n v="0"/>
    <n v="211.67"/>
    <n v="136.44999999999999"/>
    <m/>
    <n v="267.35040304922677"/>
    <n v="105.65538258833574"/>
    <n v="0"/>
    <n v="4883.4385700000003"/>
    <n v="3148.0379499999999"/>
    <n v="0"/>
    <n v="6168.0411487487108"/>
    <n v="2437.5753316954942"/>
  </r>
  <r>
    <s v="Regular"/>
    <x v="3"/>
    <x v="0"/>
    <x v="6"/>
    <x v="7"/>
    <x v="0"/>
    <x v="0"/>
    <x v="0"/>
    <x v="7"/>
    <n v="0"/>
    <n v="0"/>
    <n v="28.919"/>
    <n v="28.919"/>
    <n v="28.919"/>
    <n v="28.919"/>
    <n v="19"/>
    <x v="0"/>
    <n v="0"/>
    <n v="0"/>
    <n v="33"/>
    <n v="52"/>
    <n v="0"/>
    <n v="211.67"/>
    <n v="136.44999999999999"/>
    <m/>
    <n v="267.35040304922677"/>
    <n v="105.65538258833574"/>
    <n v="0"/>
    <n v="6121.2847299999994"/>
    <n v="3945.9975499999996"/>
    <n v="0"/>
    <n v="7731.5063057805892"/>
    <n v="3055.4480090720813"/>
  </r>
  <r>
    <s v="Regular"/>
    <x v="3"/>
    <x v="0"/>
    <x v="6"/>
    <x v="7"/>
    <x v="0"/>
    <x v="0"/>
    <x v="0"/>
    <x v="8"/>
    <n v="0"/>
    <n v="0"/>
    <n v="27.431999999999999"/>
    <n v="27.431999999999999"/>
    <n v="27.431999999999999"/>
    <n v="27.431999999999999"/>
    <n v="19"/>
    <x v="0"/>
    <n v="0"/>
    <n v="0"/>
    <n v="33"/>
    <n v="52"/>
    <n v="0"/>
    <n v="211.67"/>
    <n v="136.44999999999999"/>
    <m/>
    <n v="267.35040304922677"/>
    <n v="105.65538258833574"/>
    <n v="0"/>
    <n v="5806.5314399999997"/>
    <n v="3743.0963999999994"/>
    <n v="0"/>
    <n v="7333.9562564463886"/>
    <n v="2898.3384551632257"/>
  </r>
  <r>
    <s v="Regular"/>
    <x v="3"/>
    <x v="0"/>
    <x v="6"/>
    <x v="7"/>
    <x v="0"/>
    <x v="0"/>
    <x v="0"/>
    <x v="9"/>
    <n v="0"/>
    <n v="0"/>
    <n v="27.561"/>
    <n v="27.561"/>
    <n v="27.561"/>
    <n v="27.561"/>
    <n v="19"/>
    <x v="0"/>
    <n v="0"/>
    <n v="0"/>
    <n v="33"/>
    <n v="52"/>
    <n v="0"/>
    <n v="211.67"/>
    <n v="136.44999999999999"/>
    <m/>
    <n v="267.35040304922677"/>
    <n v="105.65538258833574"/>
    <n v="0"/>
    <n v="5833.8368700000001"/>
    <n v="3760.6984499999999"/>
    <n v="0"/>
    <n v="7368.4444584397388"/>
    <n v="2911.9679995171214"/>
  </r>
  <r>
    <s v="Regular"/>
    <x v="3"/>
    <x v="0"/>
    <x v="6"/>
    <x v="7"/>
    <x v="0"/>
    <x v="0"/>
    <x v="0"/>
    <x v="10"/>
    <n v="0"/>
    <n v="0"/>
    <n v="25.364000000000001"/>
    <n v="25.364000000000001"/>
    <n v="25.364000000000001"/>
    <n v="25.364000000000001"/>
    <n v="19"/>
    <x v="0"/>
    <n v="0"/>
    <n v="0"/>
    <n v="33"/>
    <n v="52"/>
    <n v="0"/>
    <n v="211.67"/>
    <n v="136.44999999999999"/>
    <m/>
    <n v="267.35040304922677"/>
    <n v="105.65538258833574"/>
    <n v="0"/>
    <n v="5368.7978800000001"/>
    <n v="3460.9177999999997"/>
    <n v="0"/>
    <n v="6781.0756229405879"/>
    <n v="2679.8431239705478"/>
  </r>
  <r>
    <s v="Regular"/>
    <x v="3"/>
    <x v="0"/>
    <x v="6"/>
    <x v="7"/>
    <x v="0"/>
    <x v="0"/>
    <x v="0"/>
    <x v="11"/>
    <n v="0"/>
    <n v="0"/>
    <n v="23.771000000000001"/>
    <n v="23.771000000000001"/>
    <n v="23.771000000000001"/>
    <n v="23.771000000000001"/>
    <n v="19"/>
    <x v="0"/>
    <n v="0"/>
    <n v="0"/>
    <n v="33"/>
    <n v="52"/>
    <n v="0"/>
    <n v="211.67"/>
    <n v="136.44999999999999"/>
    <m/>
    <n v="267.35040304922677"/>
    <n v="105.65538258833574"/>
    <n v="0"/>
    <n v="5031.6075700000001"/>
    <n v="3243.5529499999998"/>
    <n v="0"/>
    <n v="6355.18643088317"/>
    <n v="2511.53409950732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Regular"/>
    <x v="0"/>
    <x v="0"/>
    <x v="0"/>
    <x v="0"/>
    <x v="0"/>
    <x v="0"/>
    <x v="0"/>
    <x v="0"/>
    <n v="0"/>
    <n v="0"/>
    <n v="260.51100000000002"/>
    <n v="260.51100000000002"/>
    <n v="260.51100000000002"/>
    <n v="260.51100000000002"/>
    <n v="1839"/>
    <s v="CATIVO"/>
    <n v="0"/>
    <n v="0"/>
    <n v="21"/>
    <n v="28"/>
    <n v="0"/>
    <n v="384.85"/>
    <n v="248.09"/>
    <m/>
    <n v="486.0916419076849"/>
    <n v="192.10069561515587"/>
    <n v="0"/>
    <n v="0"/>
    <n v="0"/>
    <n v="0"/>
    <x v="0"/>
  </r>
  <r>
    <s v="Regular"/>
    <x v="0"/>
    <x v="0"/>
    <x v="0"/>
    <x v="1"/>
    <x v="0"/>
    <x v="0"/>
    <x v="0"/>
    <x v="1"/>
    <n v="0"/>
    <n v="0"/>
    <n v="0.03"/>
    <n v="0.03"/>
    <n v="0.03"/>
    <n v="0.03"/>
    <n v="1"/>
    <s v="CATIVO"/>
    <n v="0"/>
    <n v="0"/>
    <n v="3"/>
    <n v="30"/>
    <n v="0"/>
    <n v="103.03"/>
    <n v="86.83"/>
    <m/>
    <n v="123.24565526000259"/>
    <n v="67.235243465304549"/>
    <n v="0"/>
    <n v="10.577700000000002"/>
    <n v="0"/>
    <n v="10.612507214695682"/>
    <x v="1"/>
  </r>
  <r>
    <s v="Regular"/>
    <x v="0"/>
    <x v="0"/>
    <x v="0"/>
    <x v="1"/>
    <x v="0"/>
    <x v="0"/>
    <x v="0"/>
    <x v="2"/>
    <n v="0"/>
    <n v="0"/>
    <n v="0.03"/>
    <n v="0.03"/>
    <n v="0.03"/>
    <n v="0.03"/>
    <n v="1"/>
    <s v="CATIVO"/>
    <n v="0"/>
    <n v="0"/>
    <n v="3"/>
    <n v="30"/>
    <n v="0"/>
    <n v="103.03"/>
    <n v="86.83"/>
    <m/>
    <n v="123.24565526000259"/>
    <n v="67.235243465304549"/>
    <n v="0"/>
    <n v="10.577700000000002"/>
    <n v="0"/>
    <n v="10.612507214695682"/>
    <x v="1"/>
  </r>
  <r>
    <s v="Regular"/>
    <x v="0"/>
    <x v="0"/>
    <x v="0"/>
    <x v="1"/>
    <x v="0"/>
    <x v="0"/>
    <x v="0"/>
    <x v="3"/>
    <n v="0"/>
    <n v="0"/>
    <n v="0.06"/>
    <n v="0.06"/>
    <n v="0.06"/>
    <n v="0.06"/>
    <n v="2"/>
    <s v="CATIVO"/>
    <n v="0"/>
    <n v="0"/>
    <n v="3"/>
    <n v="30"/>
    <n v="0"/>
    <n v="103.03"/>
    <n v="86.83"/>
    <m/>
    <n v="123.24565526000259"/>
    <n v="67.235243465304549"/>
    <n v="0"/>
    <n v="21.155400000000004"/>
    <n v="0"/>
    <n v="21.225014429391365"/>
    <x v="1"/>
  </r>
  <r>
    <s v="Regular"/>
    <x v="0"/>
    <x v="0"/>
    <x v="0"/>
    <x v="1"/>
    <x v="0"/>
    <x v="0"/>
    <x v="0"/>
    <x v="4"/>
    <n v="0"/>
    <n v="0"/>
    <n v="0.03"/>
    <n v="0.03"/>
    <n v="0.03"/>
    <n v="0.03"/>
    <n v="1"/>
    <s v="CATIVO"/>
    <n v="0"/>
    <n v="0"/>
    <n v="3"/>
    <n v="30"/>
    <n v="0"/>
    <n v="103.03"/>
    <n v="86.83"/>
    <m/>
    <n v="123.24565526000259"/>
    <n v="67.235243465304549"/>
    <n v="0"/>
    <n v="10.577700000000002"/>
    <n v="0"/>
    <n v="10.612507214695682"/>
    <x v="1"/>
  </r>
  <r>
    <s v="Regular"/>
    <x v="0"/>
    <x v="0"/>
    <x v="0"/>
    <x v="1"/>
    <x v="0"/>
    <x v="0"/>
    <x v="0"/>
    <x v="5"/>
    <n v="0"/>
    <n v="0"/>
    <n v="0.03"/>
    <n v="0.03"/>
    <n v="0.03"/>
    <n v="0.03"/>
    <n v="1"/>
    <s v="CATIVO"/>
    <n v="0"/>
    <n v="0"/>
    <n v="3"/>
    <n v="30"/>
    <n v="0"/>
    <n v="103.03"/>
    <n v="86.83"/>
    <m/>
    <n v="123.24565526000259"/>
    <n v="67.235243465304549"/>
    <n v="0"/>
    <n v="10.577700000000002"/>
    <n v="0"/>
    <n v="10.612507214695682"/>
    <x v="1"/>
  </r>
  <r>
    <s v="Regular"/>
    <x v="0"/>
    <x v="0"/>
    <x v="0"/>
    <x v="1"/>
    <x v="0"/>
    <x v="0"/>
    <x v="0"/>
    <x v="6"/>
    <n v="0"/>
    <n v="0"/>
    <n v="0.09"/>
    <n v="0.09"/>
    <n v="0.09"/>
    <n v="0.09"/>
    <n v="3"/>
    <s v="CATIVO"/>
    <n v="0"/>
    <n v="0"/>
    <n v="3"/>
    <n v="30"/>
    <n v="0"/>
    <n v="103.03"/>
    <n v="86.83"/>
    <m/>
    <n v="123.24565526000259"/>
    <n v="67.235243465304549"/>
    <n v="0"/>
    <n v="31.733100000000007"/>
    <n v="0"/>
    <n v="31.837521644087047"/>
    <x v="1"/>
  </r>
  <r>
    <s v="Regular"/>
    <x v="0"/>
    <x v="0"/>
    <x v="0"/>
    <x v="1"/>
    <x v="0"/>
    <x v="0"/>
    <x v="0"/>
    <x v="7"/>
    <n v="0"/>
    <n v="0"/>
    <n v="0.12"/>
    <n v="0.12"/>
    <n v="0.12"/>
    <n v="0.12"/>
    <n v="4"/>
    <s v="CATIVO"/>
    <n v="0"/>
    <n v="0"/>
    <n v="3"/>
    <n v="30"/>
    <n v="0"/>
    <n v="103.03"/>
    <n v="86.83"/>
    <m/>
    <n v="123.24565526000259"/>
    <n v="67.235243465304549"/>
    <n v="0"/>
    <n v="42.310800000000008"/>
    <n v="0"/>
    <n v="42.45002885878273"/>
    <x v="1"/>
  </r>
  <r>
    <s v="Regular"/>
    <x v="0"/>
    <x v="0"/>
    <x v="0"/>
    <x v="1"/>
    <x v="0"/>
    <x v="0"/>
    <x v="0"/>
    <x v="8"/>
    <n v="0"/>
    <n v="0"/>
    <n v="0.03"/>
    <n v="0.03"/>
    <n v="0.03"/>
    <n v="0.03"/>
    <n v="1"/>
    <s v="CATIVO"/>
    <n v="0"/>
    <n v="0"/>
    <n v="3"/>
    <n v="30"/>
    <n v="0"/>
    <n v="103.03"/>
    <n v="86.83"/>
    <m/>
    <n v="123.24565526000259"/>
    <n v="67.235243465304549"/>
    <n v="0"/>
    <n v="10.577700000000002"/>
    <n v="0"/>
    <n v="10.612507214695682"/>
    <x v="1"/>
  </r>
  <r>
    <s v="Regular"/>
    <x v="0"/>
    <x v="0"/>
    <x v="0"/>
    <x v="1"/>
    <x v="0"/>
    <x v="0"/>
    <x v="0"/>
    <x v="9"/>
    <n v="0"/>
    <n v="0"/>
    <n v="0.03"/>
    <n v="0.03"/>
    <n v="0.03"/>
    <n v="0.03"/>
    <n v="1"/>
    <s v="CATIVO"/>
    <n v="0"/>
    <n v="0"/>
    <n v="3"/>
    <n v="30"/>
    <n v="0"/>
    <n v="103.03"/>
    <n v="86.83"/>
    <m/>
    <n v="123.24565526000259"/>
    <n v="67.235243465304549"/>
    <n v="0"/>
    <n v="10.577700000000002"/>
    <n v="0"/>
    <n v="10.612507214695682"/>
    <x v="1"/>
  </r>
  <r>
    <s v="Regular"/>
    <x v="0"/>
    <x v="0"/>
    <x v="0"/>
    <x v="1"/>
    <x v="0"/>
    <x v="0"/>
    <x v="0"/>
    <x v="10"/>
    <n v="0"/>
    <n v="0"/>
    <n v="0.03"/>
    <n v="0.03"/>
    <n v="0.03"/>
    <n v="0.03"/>
    <n v="1"/>
    <s v="CATIVO"/>
    <n v="0"/>
    <n v="0"/>
    <n v="3"/>
    <n v="30"/>
    <n v="0"/>
    <n v="103.03"/>
    <n v="86.83"/>
    <m/>
    <n v="123.24565526000259"/>
    <n v="67.235243465304549"/>
    <n v="0"/>
    <n v="10.577700000000002"/>
    <n v="0"/>
    <n v="10.612507214695682"/>
    <x v="1"/>
  </r>
  <r>
    <s v="Regular"/>
    <x v="0"/>
    <x v="0"/>
    <x v="0"/>
    <x v="2"/>
    <x v="0"/>
    <x v="0"/>
    <x v="0"/>
    <x v="2"/>
    <n v="0"/>
    <n v="0"/>
    <n v="8.7999999999999995E-2"/>
    <n v="8.7999999999999995E-2"/>
    <n v="8.7999999999999995E-2"/>
    <n v="8.7999999999999995E-2"/>
    <n v="1"/>
    <s v="CATIVO"/>
    <n v="0"/>
    <n v="0"/>
    <n v="38"/>
    <n v="32"/>
    <n v="0"/>
    <n v="176.61"/>
    <n v="148.85"/>
    <m/>
    <n v="211.27826616000445"/>
    <n v="115.26041736909352"/>
    <n v="0"/>
    <n v="19.095120000000001"/>
    <n v="0"/>
    <n v="19.156936100373741"/>
    <x v="1"/>
  </r>
  <r>
    <s v="Regular"/>
    <x v="0"/>
    <x v="0"/>
    <x v="0"/>
    <x v="2"/>
    <x v="0"/>
    <x v="0"/>
    <x v="0"/>
    <x v="3"/>
    <n v="0"/>
    <n v="0"/>
    <n v="0.24"/>
    <n v="0.24"/>
    <n v="0.24"/>
    <n v="0.24"/>
    <n v="4"/>
    <s v="CATIVO"/>
    <n v="0"/>
    <n v="0"/>
    <n v="38"/>
    <n v="32"/>
    <n v="0"/>
    <n v="176.61"/>
    <n v="148.85"/>
    <m/>
    <n v="211.27826616000445"/>
    <n v="115.26041736909352"/>
    <n v="0"/>
    <n v="52.077600000000004"/>
    <n v="0"/>
    <n v="52.246189364655656"/>
    <x v="1"/>
  </r>
  <r>
    <s v="Regular"/>
    <x v="0"/>
    <x v="0"/>
    <x v="0"/>
    <x v="2"/>
    <x v="0"/>
    <x v="0"/>
    <x v="0"/>
    <x v="4"/>
    <n v="0"/>
    <n v="0"/>
    <n v="0.81100000000000005"/>
    <n v="0.81100000000000005"/>
    <n v="0.81100000000000005"/>
    <n v="0.81100000000000005"/>
    <n v="13"/>
    <s v="CATIVO"/>
    <n v="0"/>
    <n v="0"/>
    <n v="38"/>
    <n v="32"/>
    <n v="0"/>
    <n v="176.61"/>
    <n v="148.85"/>
    <m/>
    <n v="211.27826616000445"/>
    <n v="115.26041736909352"/>
    <n v="0"/>
    <n v="175.97889000000004"/>
    <n v="0"/>
    <n v="176.54858156139892"/>
    <x v="1"/>
  </r>
  <r>
    <s v="Regular"/>
    <x v="0"/>
    <x v="0"/>
    <x v="0"/>
    <x v="2"/>
    <x v="0"/>
    <x v="0"/>
    <x v="0"/>
    <x v="5"/>
    <n v="0"/>
    <n v="0"/>
    <n v="0.97299999999999998"/>
    <n v="0.97299999999999998"/>
    <n v="0.97299999999999998"/>
    <n v="0.97299999999999998"/>
    <n v="17"/>
    <s v="CATIVO"/>
    <n v="0"/>
    <n v="0"/>
    <n v="38"/>
    <n v="32"/>
    <n v="0"/>
    <n v="176.61"/>
    <n v="148.85"/>
    <m/>
    <n v="211.27826616000445"/>
    <n v="115.26041736909352"/>
    <n v="0"/>
    <n v="211.13127000000003"/>
    <n v="0"/>
    <n v="211.81475938254147"/>
    <x v="1"/>
  </r>
  <r>
    <s v="Regular"/>
    <x v="0"/>
    <x v="0"/>
    <x v="0"/>
    <x v="2"/>
    <x v="0"/>
    <x v="0"/>
    <x v="0"/>
    <x v="6"/>
    <n v="0"/>
    <n v="0"/>
    <n v="1.0389999999999999"/>
    <n v="1.0389999999999999"/>
    <n v="1.0389999999999999"/>
    <n v="1.0389999999999999"/>
    <n v="16"/>
    <s v="CATIVO"/>
    <n v="0"/>
    <n v="0"/>
    <n v="38"/>
    <n v="32"/>
    <n v="0"/>
    <n v="176.61"/>
    <n v="148.85"/>
    <m/>
    <n v="211.27826616000445"/>
    <n v="115.26041736909352"/>
    <n v="0"/>
    <n v="225.45261000000002"/>
    <n v="0"/>
    <n v="226.18246145782177"/>
    <x v="1"/>
  </r>
  <r>
    <s v="Regular"/>
    <x v="0"/>
    <x v="0"/>
    <x v="0"/>
    <x v="2"/>
    <x v="0"/>
    <x v="0"/>
    <x v="0"/>
    <x v="7"/>
    <n v="0"/>
    <n v="0"/>
    <n v="1.1870000000000001"/>
    <n v="1.1870000000000001"/>
    <n v="1.1870000000000001"/>
    <n v="1.1870000000000001"/>
    <n v="18"/>
    <s v="CATIVO"/>
    <n v="0"/>
    <n v="0"/>
    <n v="38"/>
    <n v="32"/>
    <n v="0"/>
    <n v="176.61"/>
    <n v="148.85"/>
    <m/>
    <n v="211.27826616000445"/>
    <n v="115.26041736909352"/>
    <n v="0"/>
    <n v="257.56713000000008"/>
    <n v="0"/>
    <n v="258.40094489935944"/>
    <x v="1"/>
  </r>
  <r>
    <s v="Regular"/>
    <x v="0"/>
    <x v="0"/>
    <x v="0"/>
    <x v="2"/>
    <x v="0"/>
    <x v="0"/>
    <x v="0"/>
    <x v="8"/>
    <n v="0"/>
    <n v="0"/>
    <n v="1.0620000000000001"/>
    <n v="1.0620000000000001"/>
    <n v="1.0620000000000001"/>
    <n v="1.0620000000000001"/>
    <n v="15"/>
    <s v="CATIVO"/>
    <n v="0"/>
    <n v="0"/>
    <n v="38"/>
    <n v="32"/>
    <n v="0"/>
    <n v="176.61"/>
    <n v="148.85"/>
    <m/>
    <n v="211.27826616000445"/>
    <n v="115.26041736909352"/>
    <n v="0"/>
    <n v="230.44338000000005"/>
    <n v="0"/>
    <n v="231.1893879386013"/>
    <x v="1"/>
  </r>
  <r>
    <s v="Regular"/>
    <x v="0"/>
    <x v="0"/>
    <x v="0"/>
    <x v="2"/>
    <x v="0"/>
    <x v="0"/>
    <x v="0"/>
    <x v="9"/>
    <n v="0"/>
    <n v="0"/>
    <n v="0.99"/>
    <n v="0.99"/>
    <n v="0.99"/>
    <n v="0.99"/>
    <n v="14"/>
    <s v="CATIVO"/>
    <n v="0"/>
    <n v="0"/>
    <n v="38"/>
    <n v="32"/>
    <n v="0"/>
    <n v="176.61"/>
    <n v="148.85"/>
    <m/>
    <n v="211.27826616000445"/>
    <n v="115.26041736909352"/>
    <n v="0"/>
    <n v="214.82010000000002"/>
    <n v="0"/>
    <n v="215.51553112920459"/>
    <x v="1"/>
  </r>
  <r>
    <s v="Regular"/>
    <x v="0"/>
    <x v="0"/>
    <x v="0"/>
    <x v="2"/>
    <x v="0"/>
    <x v="0"/>
    <x v="0"/>
    <x v="10"/>
    <n v="0"/>
    <n v="0"/>
    <n v="0.92300000000000004"/>
    <n v="0.92300000000000004"/>
    <n v="0.92300000000000004"/>
    <n v="0.92300000000000004"/>
    <n v="13"/>
    <s v="CATIVO"/>
    <n v="0"/>
    <n v="0"/>
    <n v="38"/>
    <n v="32"/>
    <n v="0"/>
    <n v="176.61"/>
    <n v="148.85"/>
    <m/>
    <n v="211.27826616000445"/>
    <n v="115.26041736909352"/>
    <n v="0"/>
    <n v="200.28177000000005"/>
    <n v="0"/>
    <n v="200.93013659823822"/>
    <x v="1"/>
  </r>
  <r>
    <s v="Regular"/>
    <x v="0"/>
    <x v="0"/>
    <x v="0"/>
    <x v="3"/>
    <x v="0"/>
    <x v="0"/>
    <x v="0"/>
    <x v="11"/>
    <n v="0"/>
    <n v="0"/>
    <n v="0.55300000000000005"/>
    <n v="0.55300000000000005"/>
    <n v="0.55300000000000005"/>
    <n v="0.55300000000000005"/>
    <n v="3"/>
    <s v="CATIVO"/>
    <n v="0"/>
    <n v="0"/>
    <n v="5"/>
    <n v="23"/>
    <n v="0"/>
    <n v="264.92"/>
    <n v="223.28"/>
    <m/>
    <n v="316.91739924000672"/>
    <n v="172.89062605364029"/>
    <n v="0"/>
    <n v="30.000250000000019"/>
    <n v="0"/>
    <n v="30.095981998598479"/>
    <x v="1"/>
  </r>
  <r>
    <s v="Regular"/>
    <x v="0"/>
    <x v="0"/>
    <x v="0"/>
    <x v="3"/>
    <x v="0"/>
    <x v="0"/>
    <x v="0"/>
    <x v="1"/>
    <n v="0"/>
    <n v="0"/>
    <n v="0.495"/>
    <n v="0.495"/>
    <n v="0.495"/>
    <n v="0.495"/>
    <n v="3"/>
    <s v="CATIVO"/>
    <n v="0"/>
    <n v="0"/>
    <n v="5"/>
    <n v="23"/>
    <n v="0"/>
    <n v="264.92"/>
    <n v="223.28"/>
    <m/>
    <n v="316.91739924000672"/>
    <n v="172.89062605364029"/>
    <n v="0"/>
    <n v="26.853750000000012"/>
    <n v="0"/>
    <n v="26.939441391150535"/>
    <x v="1"/>
  </r>
  <r>
    <s v="Regular"/>
    <x v="0"/>
    <x v="0"/>
    <x v="0"/>
    <x v="3"/>
    <x v="0"/>
    <x v="0"/>
    <x v="0"/>
    <x v="2"/>
    <n v="0"/>
    <n v="0"/>
    <n v="0.49099999999999999"/>
    <n v="0.49099999999999999"/>
    <n v="0.49099999999999999"/>
    <n v="0.49099999999999999"/>
    <n v="3"/>
    <s v="CATIVO"/>
    <n v="0"/>
    <n v="0"/>
    <n v="5"/>
    <n v="23"/>
    <n v="0"/>
    <n v="264.92"/>
    <n v="223.28"/>
    <m/>
    <n v="316.91739924000672"/>
    <n v="172.89062605364029"/>
    <n v="0"/>
    <n v="26.636750000000013"/>
    <n v="0"/>
    <n v="26.721748935464468"/>
    <x v="1"/>
  </r>
  <r>
    <s v="Regular"/>
    <x v="0"/>
    <x v="0"/>
    <x v="0"/>
    <x v="3"/>
    <x v="0"/>
    <x v="0"/>
    <x v="0"/>
    <x v="3"/>
    <n v="0"/>
    <n v="0"/>
    <n v="3.1960000000000002"/>
    <n v="3.1960000000000002"/>
    <n v="3.1960000000000002"/>
    <n v="3.1960000000000002"/>
    <n v="19"/>
    <s v="CATIVO"/>
    <n v="0"/>
    <n v="0"/>
    <n v="5"/>
    <n v="23"/>
    <n v="0"/>
    <n v="264.92"/>
    <n v="223.28"/>
    <m/>
    <n v="316.91739924000672"/>
    <n v="172.89062605364029"/>
    <n v="0"/>
    <n v="173.3830000000001"/>
    <n v="0"/>
    <n v="173.93627209316588"/>
    <x v="1"/>
  </r>
  <r>
    <s v="Regular"/>
    <x v="0"/>
    <x v="0"/>
    <x v="0"/>
    <x v="3"/>
    <x v="0"/>
    <x v="0"/>
    <x v="0"/>
    <x v="4"/>
    <n v="0"/>
    <n v="0"/>
    <n v="10.061"/>
    <n v="10.061"/>
    <n v="10.061"/>
    <n v="10.061"/>
    <n v="62"/>
    <s v="CATIVO"/>
    <n v="0"/>
    <n v="0"/>
    <n v="5"/>
    <n v="23"/>
    <n v="0"/>
    <n v="264.92"/>
    <n v="223.28"/>
    <m/>
    <n v="316.91739924000672"/>
    <n v="172.89062605364029"/>
    <n v="0"/>
    <n v="545.80925000000025"/>
    <n v="0"/>
    <n v="547.55094916437486"/>
    <x v="1"/>
  </r>
  <r>
    <s v="Regular"/>
    <x v="0"/>
    <x v="0"/>
    <x v="0"/>
    <x v="3"/>
    <x v="0"/>
    <x v="0"/>
    <x v="0"/>
    <x v="5"/>
    <n v="0"/>
    <n v="0"/>
    <n v="11.696"/>
    <n v="11.696"/>
    <n v="11.696"/>
    <n v="11.696"/>
    <n v="73"/>
    <s v="CATIVO"/>
    <n v="0"/>
    <n v="0"/>
    <n v="5"/>
    <n v="23"/>
    <n v="0"/>
    <n v="264.92"/>
    <n v="223.28"/>
    <m/>
    <n v="316.91739924000672"/>
    <n v="172.89062605364029"/>
    <n v="0"/>
    <n v="634.50800000000027"/>
    <n v="0"/>
    <n v="636.53274042605381"/>
    <x v="1"/>
  </r>
  <r>
    <s v="Regular"/>
    <x v="0"/>
    <x v="0"/>
    <x v="0"/>
    <x v="3"/>
    <x v="0"/>
    <x v="0"/>
    <x v="0"/>
    <x v="6"/>
    <n v="0"/>
    <n v="0"/>
    <n v="10.15"/>
    <n v="10.15"/>
    <n v="10.15"/>
    <n v="10.15"/>
    <n v="62"/>
    <s v="CATIVO"/>
    <n v="0"/>
    <n v="0"/>
    <n v="5"/>
    <n v="23"/>
    <n v="0"/>
    <n v="264.92"/>
    <n v="223.28"/>
    <m/>
    <n v="316.91739924000672"/>
    <n v="172.89062605364029"/>
    <n v="0"/>
    <n v="550.63750000000027"/>
    <n v="0"/>
    <n v="552.39460630338976"/>
    <x v="1"/>
  </r>
  <r>
    <s v="Regular"/>
    <x v="0"/>
    <x v="0"/>
    <x v="0"/>
    <x v="3"/>
    <x v="0"/>
    <x v="0"/>
    <x v="0"/>
    <x v="7"/>
    <n v="0"/>
    <n v="0"/>
    <n v="10.058"/>
    <n v="10.058"/>
    <n v="10.058"/>
    <n v="10.058"/>
    <n v="61"/>
    <s v="CATIVO"/>
    <n v="0"/>
    <n v="0"/>
    <n v="5"/>
    <n v="23"/>
    <n v="0"/>
    <n v="264.92"/>
    <n v="223.28"/>
    <m/>
    <n v="316.91739924000672"/>
    <n v="172.89062605364029"/>
    <n v="0"/>
    <n v="545.64650000000029"/>
    <n v="0"/>
    <n v="547.38767982261027"/>
    <x v="1"/>
  </r>
  <r>
    <s v="Regular"/>
    <x v="0"/>
    <x v="0"/>
    <x v="0"/>
    <x v="3"/>
    <x v="0"/>
    <x v="0"/>
    <x v="0"/>
    <x v="8"/>
    <n v="0"/>
    <n v="0"/>
    <n v="9.83"/>
    <n v="9.83"/>
    <n v="9.83"/>
    <n v="9.83"/>
    <n v="60"/>
    <s v="CATIVO"/>
    <n v="0"/>
    <n v="0"/>
    <n v="5"/>
    <n v="23"/>
    <n v="0"/>
    <n v="264.92"/>
    <n v="223.28"/>
    <m/>
    <n v="316.91739924000672"/>
    <n v="172.89062605364029"/>
    <n v="0"/>
    <n v="533.27750000000026"/>
    <n v="0"/>
    <n v="534.97920984850452"/>
    <x v="1"/>
  </r>
  <r>
    <s v="Regular"/>
    <x v="0"/>
    <x v="0"/>
    <x v="0"/>
    <x v="3"/>
    <x v="0"/>
    <x v="0"/>
    <x v="0"/>
    <x v="9"/>
    <n v="0"/>
    <n v="0"/>
    <n v="11.214"/>
    <n v="11.214"/>
    <n v="11.214"/>
    <n v="11.214"/>
    <n v="69"/>
    <s v="CATIVO"/>
    <n v="0"/>
    <n v="0"/>
    <n v="5"/>
    <n v="23"/>
    <n v="0"/>
    <n v="264.92"/>
    <n v="223.28"/>
    <m/>
    <n v="316.91739924000672"/>
    <n v="172.89062605364029"/>
    <n v="0"/>
    <n v="608.35950000000037"/>
    <n v="0"/>
    <n v="610.30079951588311"/>
    <x v="1"/>
  </r>
  <r>
    <s v="Regular"/>
    <x v="0"/>
    <x v="0"/>
    <x v="0"/>
    <x v="3"/>
    <x v="0"/>
    <x v="0"/>
    <x v="0"/>
    <x v="10"/>
    <n v="0"/>
    <n v="0"/>
    <n v="9.5440000000000005"/>
    <n v="9.5440000000000005"/>
    <n v="9.5440000000000005"/>
    <n v="9.5440000000000005"/>
    <n v="61"/>
    <s v="CATIVO"/>
    <n v="0"/>
    <n v="0"/>
    <n v="5"/>
    <n v="23"/>
    <n v="0"/>
    <n v="264.92"/>
    <n v="223.28"/>
    <m/>
    <n v="316.91739924000672"/>
    <n v="172.89062605364029"/>
    <n v="0"/>
    <n v="517.76200000000028"/>
    <n v="0"/>
    <n v="519.41419926695096"/>
    <x v="1"/>
  </r>
  <r>
    <s v="Regular"/>
    <x v="0"/>
    <x v="0"/>
    <x v="0"/>
    <x v="4"/>
    <x v="0"/>
    <x v="0"/>
    <x v="0"/>
    <x v="11"/>
    <n v="0"/>
    <n v="0"/>
    <n v="1.401"/>
    <n v="1.401"/>
    <n v="1.401"/>
    <n v="1.401"/>
    <n v="4"/>
    <s v="CATIVO"/>
    <n v="0"/>
    <n v="0"/>
    <n v="37"/>
    <n v="62"/>
    <n v="0"/>
    <n v="294.36"/>
    <n v="248.09"/>
    <m/>
    <n v="352.13044360000742"/>
    <n v="192.10069561515587"/>
    <n v="0"/>
    <n v="3.9818814911996015E-14"/>
    <n v="0"/>
    <n v="-7.963762982399203E-14"/>
    <x v="1"/>
  </r>
  <r>
    <s v="Regular"/>
    <x v="0"/>
    <x v="0"/>
    <x v="0"/>
    <x v="4"/>
    <x v="0"/>
    <x v="0"/>
    <x v="0"/>
    <x v="1"/>
    <n v="0"/>
    <n v="0"/>
    <n v="1.125"/>
    <n v="1.125"/>
    <n v="1.125"/>
    <n v="1.125"/>
    <n v="3"/>
    <s v="CATIVO"/>
    <n v="0"/>
    <n v="0"/>
    <n v="37"/>
    <n v="62"/>
    <n v="0"/>
    <n v="294.36"/>
    <n v="248.09"/>
    <m/>
    <n v="352.13044360000742"/>
    <n v="192.10069561515587"/>
    <n v="0"/>
    <n v="3.1974423109204508E-14"/>
    <n v="0"/>
    <n v="-6.3948846218409017E-14"/>
    <x v="1"/>
  </r>
  <r>
    <s v="Regular"/>
    <x v="0"/>
    <x v="0"/>
    <x v="0"/>
    <x v="4"/>
    <x v="0"/>
    <x v="0"/>
    <x v="0"/>
    <x v="2"/>
    <n v="0"/>
    <n v="0"/>
    <n v="1.113"/>
    <n v="1.113"/>
    <n v="1.113"/>
    <n v="1.113"/>
    <n v="3"/>
    <s v="CATIVO"/>
    <n v="0"/>
    <n v="0"/>
    <n v="37"/>
    <n v="62"/>
    <n v="0"/>
    <n v="294.36"/>
    <n v="248.09"/>
    <m/>
    <n v="352.13044360000742"/>
    <n v="192.10069561515587"/>
    <n v="0"/>
    <n v="3.163336259603966E-14"/>
    <n v="0"/>
    <n v="-6.326672519207932E-14"/>
    <x v="1"/>
  </r>
  <r>
    <s v="Regular"/>
    <x v="0"/>
    <x v="0"/>
    <x v="0"/>
    <x v="4"/>
    <x v="0"/>
    <x v="0"/>
    <x v="0"/>
    <x v="3"/>
    <n v="0"/>
    <n v="0"/>
    <n v="4.9450000000000003"/>
    <n v="4.9450000000000003"/>
    <n v="4.9450000000000003"/>
    <n v="4.9450000000000003"/>
    <n v="16"/>
    <s v="CATIVO"/>
    <n v="0"/>
    <n v="0"/>
    <n v="37"/>
    <n v="62"/>
    <n v="0"/>
    <n v="294.36"/>
    <n v="248.09"/>
    <m/>
    <n v="352.13044360000742"/>
    <n v="192.10069561515587"/>
    <n v="0"/>
    <n v="1.4054535313334782E-13"/>
    <n v="0"/>
    <n v="-2.8109070626669565E-13"/>
    <x v="1"/>
  </r>
  <r>
    <s v="Regular"/>
    <x v="0"/>
    <x v="0"/>
    <x v="0"/>
    <x v="4"/>
    <x v="0"/>
    <x v="0"/>
    <x v="0"/>
    <x v="4"/>
    <n v="0"/>
    <n v="0"/>
    <n v="7.3570000000000002"/>
    <n v="7.3570000000000002"/>
    <n v="7.3570000000000002"/>
    <n v="7.3570000000000002"/>
    <n v="24"/>
    <s v="CATIVO"/>
    <n v="0"/>
    <n v="0"/>
    <n v="37"/>
    <n v="62"/>
    <n v="0"/>
    <n v="294.36"/>
    <n v="248.09"/>
    <m/>
    <n v="352.13044360000742"/>
    <n v="192.10069561515587"/>
    <n v="0"/>
    <n v="2.0909851627948229E-13"/>
    <n v="0"/>
    <n v="-4.1819703255896458E-13"/>
    <x v="1"/>
  </r>
  <r>
    <s v="Regular"/>
    <x v="0"/>
    <x v="0"/>
    <x v="0"/>
    <x v="4"/>
    <x v="0"/>
    <x v="0"/>
    <x v="0"/>
    <x v="5"/>
    <n v="0"/>
    <n v="0"/>
    <n v="6.5419999999999998"/>
    <n v="6.5419999999999998"/>
    <n v="6.5419999999999998"/>
    <n v="6.5419999999999998"/>
    <n v="22"/>
    <s v="CATIVO"/>
    <n v="0"/>
    <n v="0"/>
    <n v="37"/>
    <n v="62"/>
    <n v="0"/>
    <n v="294.36"/>
    <n v="248.09"/>
    <m/>
    <n v="352.13044360000742"/>
    <n v="192.10069561515587"/>
    <n v="0"/>
    <n v="1.8593482309370301E-13"/>
    <n v="0"/>
    <n v="-3.7186964618740602E-13"/>
    <x v="1"/>
  </r>
  <r>
    <s v="Regular"/>
    <x v="0"/>
    <x v="0"/>
    <x v="0"/>
    <x v="4"/>
    <x v="0"/>
    <x v="0"/>
    <x v="0"/>
    <x v="6"/>
    <n v="0"/>
    <n v="0"/>
    <n v="10.398"/>
    <n v="10.398"/>
    <n v="10.398"/>
    <n v="10.398"/>
    <n v="33"/>
    <s v="CATIVO"/>
    <n v="0"/>
    <n v="0"/>
    <n v="37"/>
    <n v="62"/>
    <n v="0"/>
    <n v="294.36"/>
    <n v="248.09"/>
    <m/>
    <n v="352.13044360000742"/>
    <n v="192.10069561515587"/>
    <n v="0"/>
    <n v="2.9552893465734086E-13"/>
    <n v="0"/>
    <n v="-5.9105786931468172E-13"/>
    <x v="1"/>
  </r>
  <r>
    <s v="Regular"/>
    <x v="0"/>
    <x v="0"/>
    <x v="0"/>
    <x v="4"/>
    <x v="0"/>
    <x v="0"/>
    <x v="0"/>
    <x v="7"/>
    <n v="0"/>
    <n v="0"/>
    <n v="12.074999999999999"/>
    <n v="12.074999999999999"/>
    <n v="12.074999999999999"/>
    <n v="12.074999999999999"/>
    <n v="35"/>
    <s v="CATIVO"/>
    <n v="0"/>
    <n v="0"/>
    <n v="37"/>
    <n v="62"/>
    <n v="0"/>
    <n v="294.36"/>
    <n v="248.09"/>
    <m/>
    <n v="352.13044360000742"/>
    <n v="192.10069561515587"/>
    <n v="0"/>
    <n v="3.4319214137212837E-13"/>
    <n v="0"/>
    <n v="-6.8638428274425674E-13"/>
    <x v="1"/>
  </r>
  <r>
    <s v="Regular"/>
    <x v="0"/>
    <x v="0"/>
    <x v="0"/>
    <x v="4"/>
    <x v="0"/>
    <x v="0"/>
    <x v="0"/>
    <x v="8"/>
    <n v="0"/>
    <n v="0"/>
    <n v="12.263"/>
    <n v="12.263"/>
    <n v="12.263"/>
    <n v="12.263"/>
    <n v="41"/>
    <s v="CATIVO"/>
    <n v="0"/>
    <n v="0"/>
    <n v="37"/>
    <n v="62"/>
    <n v="0"/>
    <n v="294.36"/>
    <n v="248.09"/>
    <m/>
    <n v="352.13044360000742"/>
    <n v="192.10069561515587"/>
    <n v="0"/>
    <n v="3.4853542274504434E-13"/>
    <n v="0"/>
    <n v="-6.9707084549008868E-13"/>
    <x v="1"/>
  </r>
  <r>
    <s v="Regular"/>
    <x v="0"/>
    <x v="0"/>
    <x v="0"/>
    <x v="4"/>
    <x v="0"/>
    <x v="0"/>
    <x v="0"/>
    <x v="9"/>
    <n v="0"/>
    <n v="0"/>
    <n v="10.863"/>
    <n v="10.863"/>
    <n v="10.863"/>
    <n v="10.863"/>
    <n v="35"/>
    <s v="CATIVO"/>
    <n v="0"/>
    <n v="0"/>
    <n v="37"/>
    <n v="62"/>
    <n v="0"/>
    <n v="294.36"/>
    <n v="248.09"/>
    <m/>
    <n v="352.13044360000742"/>
    <n v="192.10069561515587"/>
    <n v="0"/>
    <n v="3.0874502954247872E-13"/>
    <n v="0"/>
    <n v="-6.1749005908495744E-13"/>
    <x v="1"/>
  </r>
  <r>
    <s v="Regular"/>
    <x v="0"/>
    <x v="0"/>
    <x v="0"/>
    <x v="4"/>
    <x v="0"/>
    <x v="0"/>
    <x v="0"/>
    <x v="10"/>
    <n v="0"/>
    <n v="0"/>
    <n v="13.429"/>
    <n v="13.429"/>
    <n v="13.429"/>
    <n v="13.429"/>
    <n v="46"/>
    <s v="CATIVO"/>
    <n v="0"/>
    <n v="0"/>
    <n v="37"/>
    <n v="62"/>
    <n v="0"/>
    <n v="294.36"/>
    <n v="248.09"/>
    <m/>
    <n v="352.13044360000742"/>
    <n v="192.10069561515587"/>
    <n v="0"/>
    <n v="3.8167513594089542E-13"/>
    <n v="0"/>
    <n v="-7.6335027188179085E-13"/>
    <x v="1"/>
  </r>
  <r>
    <s v="Regular"/>
    <x v="1"/>
    <x v="0"/>
    <x v="1"/>
    <x v="5"/>
    <x v="0"/>
    <x v="0"/>
    <x v="0"/>
    <x v="0"/>
    <n v="0"/>
    <n v="0"/>
    <n v="469.49200000000002"/>
    <n v="469.49200000000002"/>
    <n v="469.49200000000002"/>
    <n v="469.49200000000002"/>
    <n v="1509"/>
    <s v="CATIVO"/>
    <n v="0"/>
    <n v="0"/>
    <n v="41"/>
    <n v="39"/>
    <n v="0"/>
    <n v="338.67"/>
    <n v="218.32"/>
    <m/>
    <n v="456.92614339322381"/>
    <n v="180.57465387824652"/>
    <n v="0"/>
    <n v="35657.91740000002"/>
    <n v="0"/>
    <n v="19104.352615696385"/>
    <x v="2"/>
  </r>
  <r>
    <s v="Sistema de Compensação"/>
    <x v="1"/>
    <x v="0"/>
    <x v="1"/>
    <x v="5"/>
    <x v="0"/>
    <x v="0"/>
    <x v="0"/>
    <x v="0"/>
    <n v="0"/>
    <n v="0"/>
    <n v="37.396999999999998"/>
    <n v="37.396999999999998"/>
    <n v="37.396999999999998"/>
    <n v="37.396999999999998"/>
    <n v="37"/>
    <s v="CATIVO"/>
    <n v="0"/>
    <n v="0"/>
    <n v="41"/>
    <n v="39"/>
    <n v="0"/>
    <n v="338.67"/>
    <n v="218.32"/>
    <m/>
    <n v="456.92614339322381"/>
    <n v="180.57465387824652"/>
    <n v="0"/>
    <n v="2840.3021500000018"/>
    <n v="0"/>
    <n v="1521.7415307804981"/>
    <x v="2"/>
  </r>
  <r>
    <s v="Regular"/>
    <x v="1"/>
    <x v="0"/>
    <x v="1"/>
    <x v="5"/>
    <x v="0"/>
    <x v="0"/>
    <x v="0"/>
    <x v="11"/>
    <n v="0"/>
    <n v="0"/>
    <n v="452.55099999999999"/>
    <n v="452.55099999999999"/>
    <n v="452.55099999999999"/>
    <n v="452.55099999999999"/>
    <n v="1500"/>
    <s v="CATIVO"/>
    <n v="0"/>
    <n v="0"/>
    <n v="41"/>
    <n v="39"/>
    <n v="0"/>
    <n v="338.67"/>
    <n v="218.32"/>
    <m/>
    <n v="456.92614339322381"/>
    <n v="180.57465387824652"/>
    <n v="0"/>
    <n v="34371.248450000021"/>
    <n v="0"/>
    <n v="18414.997232297919"/>
    <x v="2"/>
  </r>
  <r>
    <s v="Sistema de Compensação"/>
    <x v="1"/>
    <x v="0"/>
    <x v="1"/>
    <x v="5"/>
    <x v="0"/>
    <x v="0"/>
    <x v="0"/>
    <x v="11"/>
    <n v="0"/>
    <n v="0"/>
    <n v="38.174999999999997"/>
    <n v="38.174999999999997"/>
    <n v="38.174999999999997"/>
    <n v="38.174999999999997"/>
    <n v="41"/>
    <s v="CATIVO"/>
    <n v="0"/>
    <n v="0"/>
    <n v="41"/>
    <n v="39"/>
    <n v="0"/>
    <n v="338.67"/>
    <n v="218.32"/>
    <m/>
    <n v="456.92614339322381"/>
    <n v="180.57465387824652"/>
    <n v="0"/>
    <n v="2899.3912500000015"/>
    <n v="0"/>
    <n v="1553.3995490960642"/>
    <x v="2"/>
  </r>
  <r>
    <s v="Regular"/>
    <x v="1"/>
    <x v="0"/>
    <x v="1"/>
    <x v="5"/>
    <x v="0"/>
    <x v="0"/>
    <x v="0"/>
    <x v="1"/>
    <n v="0"/>
    <n v="0"/>
    <n v="526.09400000000005"/>
    <n v="526.09400000000005"/>
    <n v="526.09400000000005"/>
    <n v="526.09400000000005"/>
    <n v="1497"/>
    <s v="CATIVO"/>
    <n v="0"/>
    <n v="0"/>
    <n v="41"/>
    <n v="39"/>
    <n v="0"/>
    <n v="338.67"/>
    <n v="218.32"/>
    <m/>
    <n v="456.92614339322381"/>
    <n v="180.57465387824652"/>
    <n v="0"/>
    <n v="39956.839300000029"/>
    <n v="0"/>
    <n v="21407.575177004452"/>
    <x v="2"/>
  </r>
  <r>
    <s v="Sistema de Compensação"/>
    <x v="1"/>
    <x v="0"/>
    <x v="1"/>
    <x v="5"/>
    <x v="0"/>
    <x v="0"/>
    <x v="0"/>
    <x v="1"/>
    <n v="0"/>
    <n v="0"/>
    <n v="37.558999999999997"/>
    <n v="37.558999999999997"/>
    <n v="37.558999999999997"/>
    <n v="37.558999999999997"/>
    <n v="43"/>
    <s v="CATIVO"/>
    <n v="0"/>
    <n v="0"/>
    <n v="41"/>
    <n v="39"/>
    <n v="0"/>
    <n v="338.67"/>
    <n v="218.32"/>
    <m/>
    <n v="456.92614339322381"/>
    <n v="180.57465387824652"/>
    <n v="0"/>
    <n v="2852.6060500000017"/>
    <n v="0"/>
    <n v="1528.3335603012201"/>
    <x v="2"/>
  </r>
  <r>
    <s v="Regular"/>
    <x v="1"/>
    <x v="0"/>
    <x v="1"/>
    <x v="5"/>
    <x v="0"/>
    <x v="0"/>
    <x v="0"/>
    <x v="2"/>
    <n v="0"/>
    <n v="0"/>
    <n v="526.80399999999997"/>
    <n v="526.80399999999997"/>
    <n v="526.80399999999997"/>
    <n v="526.80399999999997"/>
    <n v="1496"/>
    <s v="CATIVO"/>
    <n v="0"/>
    <n v="0"/>
    <n v="41"/>
    <n v="39"/>
    <n v="0"/>
    <n v="338.67"/>
    <n v="218.32"/>
    <m/>
    <n v="456.92614339322381"/>
    <n v="180.57465387824652"/>
    <n v="0"/>
    <n v="40010.763800000022"/>
    <n v="0"/>
    <n v="21436.466170582924"/>
    <x v="2"/>
  </r>
  <r>
    <s v="Sistema de Compensação"/>
    <x v="1"/>
    <x v="0"/>
    <x v="1"/>
    <x v="5"/>
    <x v="0"/>
    <x v="0"/>
    <x v="0"/>
    <x v="2"/>
    <n v="0"/>
    <n v="0"/>
    <n v="44.088999999999999"/>
    <n v="44.088999999999999"/>
    <n v="44.088999999999999"/>
    <n v="44.088999999999999"/>
    <n v="45"/>
    <s v="CATIVO"/>
    <n v="0"/>
    <n v="0"/>
    <n v="41"/>
    <n v="39"/>
    <n v="0"/>
    <n v="338.67"/>
    <n v="218.32"/>
    <m/>
    <n v="456.92614339322381"/>
    <n v="180.57465387824652"/>
    <n v="0"/>
    <n v="3348.5595500000018"/>
    <n v="0"/>
    <n v="1794.0493181426689"/>
    <x v="2"/>
  </r>
  <r>
    <s v="Regular"/>
    <x v="1"/>
    <x v="0"/>
    <x v="1"/>
    <x v="5"/>
    <x v="0"/>
    <x v="0"/>
    <x v="0"/>
    <x v="3"/>
    <n v="0"/>
    <n v="0"/>
    <n v="514.68700000000001"/>
    <n v="514.68700000000001"/>
    <n v="514.68700000000001"/>
    <n v="514.68700000000001"/>
    <n v="1472"/>
    <s v="CATIVO"/>
    <n v="0"/>
    <n v="0"/>
    <n v="41"/>
    <n v="39"/>
    <n v="0"/>
    <n v="338.67"/>
    <n v="218.32"/>
    <m/>
    <n v="456.92614339322381"/>
    <n v="180.57465387824652"/>
    <n v="0"/>
    <n v="39090.477650000023"/>
    <n v="0"/>
    <n v="20943.406777357068"/>
    <x v="2"/>
  </r>
  <r>
    <s v="Sistema de Compensação"/>
    <x v="1"/>
    <x v="0"/>
    <x v="1"/>
    <x v="5"/>
    <x v="0"/>
    <x v="0"/>
    <x v="0"/>
    <x v="3"/>
    <n v="0"/>
    <n v="0"/>
    <n v="45.033999999999999"/>
    <n v="45.033999999999999"/>
    <n v="45.033999999999999"/>
    <n v="45.033999999999999"/>
    <n v="50"/>
    <s v="CATIVO"/>
    <n v="0"/>
    <n v="0"/>
    <n v="41"/>
    <n v="39"/>
    <n v="0"/>
    <n v="338.67"/>
    <n v="218.32"/>
    <m/>
    <n v="456.92614339322381"/>
    <n v="180.57465387824652"/>
    <n v="0"/>
    <n v="3420.3323000000019"/>
    <n v="0"/>
    <n v="1832.5028236802139"/>
    <x v="2"/>
  </r>
  <r>
    <s v="Regular"/>
    <x v="1"/>
    <x v="0"/>
    <x v="1"/>
    <x v="5"/>
    <x v="0"/>
    <x v="0"/>
    <x v="0"/>
    <x v="4"/>
    <n v="0"/>
    <n v="0"/>
    <n v="459.70800000000003"/>
    <n v="459.70800000000003"/>
    <n v="459.70800000000003"/>
    <n v="459.70800000000003"/>
    <n v="1423"/>
    <s v="CATIVO"/>
    <n v="0"/>
    <n v="0"/>
    <n v="41"/>
    <n v="39"/>
    <n v="0"/>
    <n v="338.67"/>
    <n v="218.32"/>
    <m/>
    <n v="456.92614339322381"/>
    <n v="180.57465387824652"/>
    <n v="0"/>
    <n v="34914.822600000021"/>
    <n v="0"/>
    <n v="18706.226585876979"/>
    <x v="2"/>
  </r>
  <r>
    <s v="Sistema de Compensação"/>
    <x v="1"/>
    <x v="0"/>
    <x v="1"/>
    <x v="5"/>
    <x v="0"/>
    <x v="0"/>
    <x v="0"/>
    <x v="4"/>
    <n v="0"/>
    <n v="0"/>
    <n v="40.585999999999999"/>
    <n v="40.585999999999999"/>
    <n v="40.585999999999999"/>
    <n v="40.585999999999999"/>
    <n v="53"/>
    <s v="CATIVO"/>
    <n v="0"/>
    <n v="0"/>
    <n v="41"/>
    <n v="39"/>
    <n v="0"/>
    <n v="338.67"/>
    <n v="218.32"/>
    <m/>
    <n v="456.92614339322381"/>
    <n v="180.57465387824652"/>
    <n v="0"/>
    <n v="3082.5067000000017"/>
    <n v="0"/>
    <n v="1651.5068526421182"/>
    <x v="2"/>
  </r>
  <r>
    <s v="Regular"/>
    <x v="1"/>
    <x v="0"/>
    <x v="1"/>
    <x v="5"/>
    <x v="0"/>
    <x v="0"/>
    <x v="0"/>
    <x v="5"/>
    <n v="0"/>
    <n v="0"/>
    <n v="425.97399999999999"/>
    <n v="425.97399999999999"/>
    <n v="425.97399999999999"/>
    <n v="425.97399999999999"/>
    <n v="1419"/>
    <s v="CATIVO"/>
    <n v="0"/>
    <n v="0"/>
    <n v="41"/>
    <n v="39"/>
    <n v="0"/>
    <n v="338.67"/>
    <n v="218.32"/>
    <m/>
    <n v="456.92614339322381"/>
    <n v="180.57465387824652"/>
    <n v="0"/>
    <n v="32352.72530000002"/>
    <n v="0"/>
    <n v="17333.538167037248"/>
    <x v="2"/>
  </r>
  <r>
    <s v="Sistema de Compensação"/>
    <x v="1"/>
    <x v="0"/>
    <x v="1"/>
    <x v="5"/>
    <x v="0"/>
    <x v="0"/>
    <x v="0"/>
    <x v="5"/>
    <n v="0"/>
    <n v="0"/>
    <n v="42.883000000000003"/>
    <n v="42.883000000000003"/>
    <n v="42.883000000000003"/>
    <n v="42.883000000000003"/>
    <n v="55"/>
    <s v="CATIVO"/>
    <n v="0"/>
    <n v="0"/>
    <n v="41"/>
    <n v="39"/>
    <n v="0"/>
    <n v="338.67"/>
    <n v="218.32"/>
    <m/>
    <n v="456.92614339322381"/>
    <n v="180.57465387824652"/>
    <n v="0"/>
    <n v="3256.9638500000024"/>
    <n v="0"/>
    <n v="1744.9753205995162"/>
    <x v="2"/>
  </r>
  <r>
    <s v="Regular"/>
    <x v="1"/>
    <x v="0"/>
    <x v="1"/>
    <x v="5"/>
    <x v="0"/>
    <x v="0"/>
    <x v="0"/>
    <x v="6"/>
    <n v="0"/>
    <n v="0"/>
    <n v="466.97800000000001"/>
    <n v="466.97800000000001"/>
    <n v="466.97800000000001"/>
    <n v="466.97800000000001"/>
    <n v="1419"/>
    <s v="CATIVO"/>
    <n v="0"/>
    <n v="0"/>
    <n v="41"/>
    <n v="39"/>
    <n v="0"/>
    <n v="338.67"/>
    <n v="218.32"/>
    <m/>
    <n v="456.92614339322381"/>
    <n v="180.57465387824652"/>
    <n v="0"/>
    <n v="35466.979100000019"/>
    <n v="0"/>
    <n v="19002.054083504441"/>
    <x v="2"/>
  </r>
  <r>
    <s v="Sistema de Compensação"/>
    <x v="1"/>
    <x v="0"/>
    <x v="1"/>
    <x v="5"/>
    <x v="0"/>
    <x v="0"/>
    <x v="0"/>
    <x v="6"/>
    <n v="0"/>
    <n v="0"/>
    <n v="38.088999999999999"/>
    <n v="38.088999999999999"/>
    <n v="38.088999999999999"/>
    <n v="38.088999999999999"/>
    <n v="56"/>
    <s v="CATIVO"/>
    <n v="0"/>
    <n v="0"/>
    <n v="41"/>
    <n v="39"/>
    <n v="0"/>
    <n v="338.67"/>
    <n v="218.32"/>
    <m/>
    <n v="456.92614339322381"/>
    <n v="180.57465387824652"/>
    <n v="0"/>
    <n v="2892.8595500000015"/>
    <n v="0"/>
    <n v="1549.9000766344466"/>
    <x v="2"/>
  </r>
  <r>
    <s v="Regular"/>
    <x v="1"/>
    <x v="0"/>
    <x v="1"/>
    <x v="5"/>
    <x v="0"/>
    <x v="0"/>
    <x v="0"/>
    <x v="7"/>
    <n v="0"/>
    <n v="0"/>
    <n v="445.42899999999997"/>
    <n v="445.42899999999997"/>
    <n v="445.42899999999997"/>
    <n v="445.42899999999997"/>
    <n v="1413"/>
    <s v="CATIVO"/>
    <n v="0"/>
    <n v="0"/>
    <n v="41"/>
    <n v="39"/>
    <n v="0"/>
    <n v="338.67"/>
    <n v="218.32"/>
    <m/>
    <n v="456.92614339322381"/>
    <n v="180.57465387824652"/>
    <n v="0"/>
    <n v="33830.332550000021"/>
    <n v="0"/>
    <n v="18125.192082627658"/>
    <x v="2"/>
  </r>
  <r>
    <s v="Sistema de Compensação"/>
    <x v="1"/>
    <x v="0"/>
    <x v="1"/>
    <x v="5"/>
    <x v="0"/>
    <x v="0"/>
    <x v="0"/>
    <x v="7"/>
    <n v="0"/>
    <n v="0"/>
    <n v="34.158000000000001"/>
    <n v="34.158000000000001"/>
    <n v="34.158000000000001"/>
    <n v="34.158000000000001"/>
    <n v="59"/>
    <s v="CATIVO"/>
    <n v="0"/>
    <n v="0"/>
    <n v="41"/>
    <n v="39"/>
    <n v="0"/>
    <n v="338.67"/>
    <n v="218.32"/>
    <m/>
    <n v="456.92614339322381"/>
    <n v="180.57465387824652"/>
    <n v="0"/>
    <n v="2594.3001000000017"/>
    <n v="0"/>
    <n v="1389.9416319063096"/>
    <x v="2"/>
  </r>
  <r>
    <s v="Regular"/>
    <x v="1"/>
    <x v="0"/>
    <x v="1"/>
    <x v="5"/>
    <x v="0"/>
    <x v="0"/>
    <x v="0"/>
    <x v="8"/>
    <n v="0"/>
    <n v="0"/>
    <n v="496.76"/>
    <n v="496.76"/>
    <n v="496.76"/>
    <n v="496.76"/>
    <n v="1409"/>
    <s v="CATIVO"/>
    <n v="0"/>
    <n v="0"/>
    <n v="41"/>
    <n v="39"/>
    <n v="0"/>
    <n v="338.67"/>
    <n v="218.32"/>
    <m/>
    <n v="456.92614339322381"/>
    <n v="180.57465387824652"/>
    <n v="0"/>
    <n v="37728.92200000002"/>
    <n v="0"/>
    <n v="20213.929535270752"/>
    <x v="2"/>
  </r>
  <r>
    <s v="Sistema de Compensação"/>
    <x v="1"/>
    <x v="0"/>
    <x v="1"/>
    <x v="5"/>
    <x v="0"/>
    <x v="0"/>
    <x v="0"/>
    <x v="8"/>
    <n v="0"/>
    <n v="0"/>
    <n v="45.319000000000003"/>
    <n v="45.319000000000003"/>
    <n v="45.319000000000003"/>
    <n v="45.319000000000003"/>
    <n v="60"/>
    <s v="CATIVO"/>
    <n v="0"/>
    <n v="0"/>
    <n v="41"/>
    <n v="39"/>
    <n v="0"/>
    <n v="338.67"/>
    <n v="218.32"/>
    <m/>
    <n v="456.92614339322381"/>
    <n v="180.57465387824652"/>
    <n v="0"/>
    <n v="3441.9780500000024"/>
    <n v="0"/>
    <n v="1844.0999126518545"/>
    <x v="2"/>
  </r>
  <r>
    <s v="Regular"/>
    <x v="1"/>
    <x v="0"/>
    <x v="1"/>
    <x v="5"/>
    <x v="0"/>
    <x v="0"/>
    <x v="0"/>
    <x v="9"/>
    <n v="0"/>
    <n v="0"/>
    <n v="443.57400000000001"/>
    <n v="443.57400000000001"/>
    <n v="443.57400000000001"/>
    <n v="443.57400000000001"/>
    <n v="1407"/>
    <s v="CATIVO"/>
    <n v="0"/>
    <n v="0"/>
    <n v="41"/>
    <n v="39"/>
    <n v="0"/>
    <n v="338.67"/>
    <n v="218.32"/>
    <m/>
    <n v="456.92614339322381"/>
    <n v="180.57465387824652"/>
    <n v="0"/>
    <n v="33689.445300000021"/>
    <n v="0"/>
    <n v="18049.709275461366"/>
    <x v="2"/>
  </r>
  <r>
    <s v="Sistema de Compensação"/>
    <x v="1"/>
    <x v="0"/>
    <x v="1"/>
    <x v="5"/>
    <x v="0"/>
    <x v="0"/>
    <x v="0"/>
    <x v="9"/>
    <n v="0"/>
    <n v="0"/>
    <n v="46.637"/>
    <n v="46.637"/>
    <n v="46.637"/>
    <n v="46.637"/>
    <n v="62"/>
    <s v="CATIVO"/>
    <n v="0"/>
    <n v="0"/>
    <n v="41"/>
    <n v="39"/>
    <n v="0"/>
    <n v="338.67"/>
    <n v="218.32"/>
    <m/>
    <n v="456.92614339322381"/>
    <n v="180.57465387824652"/>
    <n v="0"/>
    <n v="3542.080150000002"/>
    <n v="0"/>
    <n v="1897.7313627031606"/>
    <x v="2"/>
  </r>
  <r>
    <s v="Regular"/>
    <x v="1"/>
    <x v="0"/>
    <x v="1"/>
    <x v="5"/>
    <x v="0"/>
    <x v="0"/>
    <x v="0"/>
    <x v="10"/>
    <n v="0"/>
    <n v="0"/>
    <n v="490.70600000000002"/>
    <n v="490.70600000000002"/>
    <n v="490.70600000000002"/>
    <n v="490.70600000000002"/>
    <n v="1404"/>
    <s v="CATIVO"/>
    <n v="0"/>
    <n v="0"/>
    <n v="41"/>
    <n v="39"/>
    <n v="0"/>
    <n v="338.67"/>
    <n v="218.32"/>
    <m/>
    <n v="456.92614339322381"/>
    <n v="180.57465387824652"/>
    <n v="0"/>
    <n v="37269.120700000021"/>
    <n v="0"/>
    <n v="19967.582950588956"/>
    <x v="2"/>
  </r>
  <r>
    <s v="Sistema de Compensação"/>
    <x v="1"/>
    <x v="0"/>
    <x v="1"/>
    <x v="5"/>
    <x v="0"/>
    <x v="0"/>
    <x v="0"/>
    <x v="10"/>
    <n v="0"/>
    <n v="0"/>
    <n v="11.884"/>
    <n v="11.884"/>
    <n v="11.884"/>
    <n v="11.884"/>
    <n v="64"/>
    <s v="CATIVO"/>
    <n v="0"/>
    <n v="0"/>
    <n v="41"/>
    <n v="39"/>
    <n v="0"/>
    <n v="338.67"/>
    <n v="218.32"/>
    <m/>
    <n v="456.92614339322381"/>
    <n v="180.57465387824652"/>
    <n v="0"/>
    <n v="902.58980000000054"/>
    <n v="0"/>
    <n v="483.57826434728565"/>
    <x v="2"/>
  </r>
  <r>
    <s v="Regular"/>
    <x v="2"/>
    <x v="0"/>
    <x v="2"/>
    <x v="6"/>
    <x v="0"/>
    <x v="0"/>
    <x v="0"/>
    <x v="0"/>
    <n v="0"/>
    <n v="0"/>
    <n v="0.96799999999999997"/>
    <n v="0.90991999999999995"/>
    <n v="0.96799999999999997"/>
    <n v="0.90991999999999995"/>
    <n v="3"/>
    <s v="CATIVO"/>
    <n v="0"/>
    <n v="0"/>
    <n v="42"/>
    <n v="50"/>
    <n v="0"/>
    <n v="384.85"/>
    <n v="248.09"/>
    <m/>
    <n v="486.0916419076849"/>
    <n v="192.10069561515587"/>
    <n v="0"/>
    <n v="36.761155200000012"/>
    <n v="0"/>
    <n v="39.389410963326604"/>
    <x v="3"/>
  </r>
  <r>
    <s v="Regular"/>
    <x v="2"/>
    <x v="0"/>
    <x v="2"/>
    <x v="6"/>
    <x v="0"/>
    <x v="0"/>
    <x v="0"/>
    <x v="11"/>
    <n v="0"/>
    <n v="0"/>
    <n v="1.024"/>
    <n v="0.96255999999999997"/>
    <n v="1.024"/>
    <n v="0.96255999999999997"/>
    <n v="3"/>
    <s v="CATIVO"/>
    <n v="0"/>
    <n v="0"/>
    <n v="42"/>
    <n v="50"/>
    <n v="0"/>
    <n v="384.85"/>
    <n v="248.09"/>
    <m/>
    <n v="486.0916419076849"/>
    <n v="192.10069561515587"/>
    <n v="0"/>
    <n v="38.887833600000036"/>
    <n v="0"/>
    <n v="41.66813721740337"/>
    <x v="3"/>
  </r>
  <r>
    <s v="Regular"/>
    <x v="2"/>
    <x v="0"/>
    <x v="2"/>
    <x v="6"/>
    <x v="0"/>
    <x v="0"/>
    <x v="0"/>
    <x v="1"/>
    <n v="0"/>
    <n v="0"/>
    <n v="1.095"/>
    <n v="1.0292999999999999"/>
    <n v="1.095"/>
    <n v="1.0292999999999999"/>
    <n v="3"/>
    <s v="CATIVO"/>
    <n v="0"/>
    <n v="0"/>
    <n v="42"/>
    <n v="50"/>
    <n v="0"/>
    <n v="384.85"/>
    <n v="248.09"/>
    <m/>
    <n v="486.0916419076849"/>
    <n v="192.10069561515587"/>
    <n v="0"/>
    <n v="41.584158000000059"/>
    <n v="0"/>
    <n v="44.557236575250698"/>
    <x v="3"/>
  </r>
  <r>
    <s v="Regular"/>
    <x v="2"/>
    <x v="0"/>
    <x v="2"/>
    <x v="6"/>
    <x v="0"/>
    <x v="0"/>
    <x v="0"/>
    <x v="2"/>
    <n v="0"/>
    <n v="0"/>
    <n v="0.95699999999999996"/>
    <n v="0.89957999999999994"/>
    <n v="0.95699999999999996"/>
    <n v="0.89957999999999994"/>
    <n v="3"/>
    <s v="CATIVO"/>
    <n v="0"/>
    <n v="0"/>
    <n v="42"/>
    <n v="50"/>
    <n v="0"/>
    <n v="384.85"/>
    <n v="248.09"/>
    <m/>
    <n v="486.0916419076849"/>
    <n v="192.10069561515587"/>
    <n v="0"/>
    <n v="36.343414800000019"/>
    <n v="0"/>
    <n v="38.941804020561534"/>
    <x v="3"/>
  </r>
  <r>
    <s v="Regular"/>
    <x v="2"/>
    <x v="0"/>
    <x v="2"/>
    <x v="6"/>
    <x v="0"/>
    <x v="0"/>
    <x v="0"/>
    <x v="3"/>
    <n v="0"/>
    <n v="0"/>
    <n v="1.0089999999999999"/>
    <n v="0.94845999999999986"/>
    <n v="1.0089999999999999"/>
    <n v="0.94845999999999986"/>
    <n v="3"/>
    <s v="CATIVO"/>
    <n v="0"/>
    <n v="0"/>
    <n v="42"/>
    <n v="50"/>
    <n v="0"/>
    <n v="384.85"/>
    <n v="248.09"/>
    <m/>
    <n v="486.0916419076849"/>
    <n v="192.10069561515587"/>
    <n v="0"/>
    <n v="38.318187600000023"/>
    <n v="0"/>
    <n v="41.057764113632807"/>
    <x v="3"/>
  </r>
  <r>
    <s v="Regular"/>
    <x v="2"/>
    <x v="0"/>
    <x v="2"/>
    <x v="6"/>
    <x v="0"/>
    <x v="0"/>
    <x v="0"/>
    <x v="4"/>
    <n v="0"/>
    <n v="0"/>
    <n v="1.028"/>
    <n v="0.96631999999999996"/>
    <n v="1.028"/>
    <n v="0.96631999999999996"/>
    <n v="3"/>
    <s v="CATIVO"/>
    <n v="0"/>
    <n v="0"/>
    <n v="42"/>
    <n v="50"/>
    <n v="0"/>
    <n v="384.85"/>
    <n v="248.09"/>
    <m/>
    <n v="486.0916419076849"/>
    <n v="192.10069561515587"/>
    <n v="0"/>
    <n v="39.039739200000042"/>
    <n v="0"/>
    <n v="41.830903378408863"/>
    <x v="3"/>
  </r>
  <r>
    <s v="Regular"/>
    <x v="2"/>
    <x v="0"/>
    <x v="2"/>
    <x v="6"/>
    <x v="0"/>
    <x v="0"/>
    <x v="0"/>
    <x v="5"/>
    <n v="0"/>
    <n v="0"/>
    <n v="1.1619999999999999"/>
    <n v="1.0922799999999999"/>
    <n v="1.1619999999999999"/>
    <n v="1.0922799999999999"/>
    <n v="3"/>
    <s v="CATIVO"/>
    <n v="0"/>
    <n v="0"/>
    <n v="42"/>
    <n v="50"/>
    <n v="0"/>
    <n v="384.85"/>
    <n v="248.09"/>
    <m/>
    <n v="486.0916419076849"/>
    <n v="192.10069561515587"/>
    <n v="0"/>
    <n v="44.128576800000005"/>
    <n v="0"/>
    <n v="47.283569772092463"/>
    <x v="3"/>
  </r>
  <r>
    <s v="Regular"/>
    <x v="2"/>
    <x v="0"/>
    <x v="2"/>
    <x v="6"/>
    <x v="0"/>
    <x v="0"/>
    <x v="0"/>
    <x v="6"/>
    <n v="0"/>
    <n v="0"/>
    <n v="0.93"/>
    <n v="0.87419999999999998"/>
    <n v="0.93"/>
    <n v="0.87419999999999998"/>
    <n v="3"/>
    <s v="CATIVO"/>
    <n v="0"/>
    <n v="0"/>
    <n v="42"/>
    <n v="50"/>
    <n v="0"/>
    <n v="384.85"/>
    <n v="248.09"/>
    <m/>
    <n v="486.0916419076849"/>
    <n v="192.10069561515587"/>
    <n v="0"/>
    <n v="35.318052000000051"/>
    <n v="0"/>
    <n v="37.843132433774564"/>
    <x v="3"/>
  </r>
  <r>
    <s v="Regular"/>
    <x v="2"/>
    <x v="0"/>
    <x v="2"/>
    <x v="6"/>
    <x v="0"/>
    <x v="0"/>
    <x v="0"/>
    <x v="7"/>
    <n v="0"/>
    <n v="0"/>
    <n v="0.749"/>
    <n v="0.70405999999999991"/>
    <n v="0.749"/>
    <n v="0.70405999999999991"/>
    <n v="3"/>
    <s v="CATIVO"/>
    <n v="0"/>
    <n v="0"/>
    <n v="42"/>
    <n v="50"/>
    <n v="0"/>
    <n v="384.85"/>
    <n v="248.09"/>
    <m/>
    <n v="486.0916419076849"/>
    <n v="192.10069561515587"/>
    <n v="0"/>
    <n v="28.444323600000061"/>
    <n v="0"/>
    <n v="30.477963648276525"/>
    <x v="3"/>
  </r>
  <r>
    <s v="Regular"/>
    <x v="2"/>
    <x v="0"/>
    <x v="2"/>
    <x v="6"/>
    <x v="0"/>
    <x v="0"/>
    <x v="0"/>
    <x v="8"/>
    <n v="0"/>
    <n v="0"/>
    <n v="0.77200000000000002"/>
    <n v="0.72567999999999999"/>
    <n v="0.77200000000000002"/>
    <n v="0.72567999999999999"/>
    <n v="3"/>
    <s v="CATIVO"/>
    <n v="0"/>
    <n v="0"/>
    <n v="42"/>
    <n v="50"/>
    <n v="0"/>
    <n v="384.85"/>
    <n v="248.09"/>
    <m/>
    <n v="486.0916419076849"/>
    <n v="192.10069561515587"/>
    <n v="0"/>
    <n v="29.317780800000016"/>
    <n v="0"/>
    <n v="31.413869074058006"/>
    <x v="3"/>
  </r>
  <r>
    <s v="Regular"/>
    <x v="2"/>
    <x v="0"/>
    <x v="2"/>
    <x v="6"/>
    <x v="0"/>
    <x v="0"/>
    <x v="0"/>
    <x v="9"/>
    <n v="0"/>
    <n v="0"/>
    <n v="0.83299999999999996"/>
    <n v="0.78301999999999994"/>
    <n v="0.83299999999999996"/>
    <n v="0.78301999999999994"/>
    <n v="3"/>
    <s v="CATIVO"/>
    <n v="0"/>
    <n v="0"/>
    <n v="42"/>
    <n v="50"/>
    <n v="0"/>
    <n v="384.85"/>
    <n v="248.09"/>
    <m/>
    <n v="486.0916419076849"/>
    <n v="192.10069561515587"/>
    <n v="0"/>
    <n v="31.634341200000016"/>
    <n v="0"/>
    <n v="33.896053029391595"/>
    <x v="3"/>
  </r>
  <r>
    <s v="Regular"/>
    <x v="2"/>
    <x v="0"/>
    <x v="2"/>
    <x v="6"/>
    <x v="0"/>
    <x v="0"/>
    <x v="0"/>
    <x v="10"/>
    <n v="0"/>
    <n v="0"/>
    <n v="0.81399999999999995"/>
    <n v="0.76515999999999995"/>
    <n v="0.81399999999999995"/>
    <n v="0.76515999999999995"/>
    <n v="3"/>
    <s v="CATIVO"/>
    <n v="0"/>
    <n v="0"/>
    <n v="42"/>
    <n v="50"/>
    <n v="0"/>
    <n v="384.85"/>
    <n v="248.09"/>
    <m/>
    <n v="486.0916419076849"/>
    <n v="192.10069561515587"/>
    <n v="0"/>
    <n v="30.912789599999996"/>
    <n v="0"/>
    <n v="33.12291376461553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F93CF-CCA6-40DB-BE14-E799B4246E35}" name="Efeito Resumo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5" indent="0" outline="1" outlineData="1" multipleFieldFilters="0">
  <location ref="A1:J186" firstHeaderRow="0" firstDataRow="1" firstDataCol="1"/>
  <pivotFields count="36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8">
        <item x="2"/>
        <item x="6"/>
        <item x="3"/>
        <item x="4"/>
        <item x="0"/>
        <item x="1"/>
        <item x="5"/>
        <item t="default"/>
      </items>
    </pivotField>
    <pivotField axis="axisRow" showAll="0">
      <items count="9">
        <item x="6"/>
        <item x="7"/>
        <item x="5"/>
        <item x="0"/>
        <item x="1"/>
        <item x="2"/>
        <item x="3"/>
        <item x="4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axis="axisRow" showAll="0">
      <items count="2">
        <item x="0"/>
        <item t="default"/>
      </items>
    </pivotField>
    <pivotField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numFmtId="40" showAll="0"/>
    <pivotField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9">
    <field x="16"/>
    <field x="1"/>
    <field x="2"/>
    <field x="3"/>
    <field x="4"/>
    <field x="5"/>
    <field x="6"/>
    <field x="7"/>
    <field x="8"/>
  </rowFields>
  <rowItems count="185">
    <i>
      <x/>
    </i>
    <i r="1">
      <x/>
    </i>
    <i r="2">
      <x/>
    </i>
    <i r="3">
      <x v="4"/>
    </i>
    <i r="4">
      <x v="3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4"/>
    </i>
    <i r="5">
      <x/>
    </i>
    <i r="6">
      <x/>
    </i>
    <i r="7">
      <x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5"/>
    </i>
    <i r="5">
      <x/>
    </i>
    <i r="6">
      <x/>
    </i>
    <i r="7">
      <x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6"/>
    </i>
    <i r="5">
      <x/>
    </i>
    <i r="6">
      <x/>
    </i>
    <i r="7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7"/>
    </i>
    <i r="5">
      <x/>
    </i>
    <i r="6">
      <x/>
    </i>
    <i r="7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1"/>
    </i>
    <i r="2">
      <x/>
    </i>
    <i r="3">
      <x v="5"/>
    </i>
    <i r="4">
      <x v="2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2"/>
    </i>
    <i r="2">
      <x/>
    </i>
    <i r="3">
      <x/>
    </i>
    <i r="4">
      <x v="2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2"/>
    </i>
    <i r="4">
      <x v="2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3"/>
    </i>
    <i r="4">
      <x v="2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6"/>
    </i>
    <i r="4">
      <x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3"/>
    </i>
    <i r="2">
      <x/>
    </i>
    <i r="3">
      <x v="1"/>
    </i>
    <i r="4">
      <x v="1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a de RA0 ou RV - TUSD (kW)" fld="27" baseField="0" baseItem="0" numFmtId="40"/>
    <dataField name="Soma de RA1 ou RRD - TUSD (kW)" fld="30" baseField="0" baseItem="0" numFmtId="40"/>
    <dataField name="Soma de RA0 ou RV - TUSD (MWh)" fld="28" baseField="0" baseItem="0" numFmtId="40"/>
    <dataField name="Soma de RA1 ou RRD - TUSD (MWh)" fld="31" baseField="0" baseItem="0" numFmtId="40"/>
    <dataField name="Soma de RA0 ou RV - TE (MWh)" fld="29" baseField="0" baseItem="0" numFmtId="40"/>
    <dataField name="Soma de RA1 ou RRD - TE (MWh)" fld="32" baseField="0" baseItem="0" numFmtId="40"/>
    <dataField name="Soma de Variação TUSD" fld="33" baseField="0" baseItem="0" numFmtId="166"/>
    <dataField name="Soma de Variação TE" fld="34" baseField="0" baseItem="0" numFmtId="166"/>
    <dataField name="Soma de Variação" fld="35" baseField="0" baseItem="0" numFmtId="166"/>
  </dataFields>
  <formats count="134">
    <format dxfId="383">
      <pivotArea outline="0" collapsedLevelsAreSubtotals="1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  <format dxfId="38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81">
      <pivotArea outline="0" collapsedLevelsAreSubtotals="1" fieldPosition="0">
        <references count="1">
          <reference field="4294967294" count="3" selected="0">
            <x v="6"/>
            <x v="7"/>
            <x v="8"/>
          </reference>
        </references>
      </pivotArea>
    </format>
    <format dxfId="380">
      <pivotArea dataOnly="0" labelOnly="1" outline="0" fieldPosition="0">
        <references count="1">
          <reference field="4294967294" count="3">
            <x v="6"/>
            <x v="7"/>
            <x v="8"/>
          </reference>
        </references>
      </pivotArea>
    </format>
    <format dxfId="379">
      <pivotArea type="all" dataOnly="0" outline="0" fieldPosition="0"/>
    </format>
    <format dxfId="378">
      <pivotArea outline="0" collapsedLevelsAreSubtotals="1" fieldPosition="0"/>
    </format>
    <format dxfId="377">
      <pivotArea field="16" type="button" dataOnly="0" labelOnly="1" outline="0" axis="axisRow" fieldPosition="0"/>
    </format>
    <format dxfId="376">
      <pivotArea dataOnly="0" labelOnly="1" fieldPosition="0">
        <references count="1">
          <reference field="16" count="0"/>
        </references>
      </pivotArea>
    </format>
    <format dxfId="375">
      <pivotArea dataOnly="0" labelOnly="1" fieldPosition="0">
        <references count="2">
          <reference field="1" count="0"/>
          <reference field="16" count="0" selected="0"/>
        </references>
      </pivotArea>
    </format>
    <format dxfId="374">
      <pivotArea dataOnly="0" labelOnly="1" fieldPosition="0">
        <references count="3">
          <reference field="1" count="1" selected="0">
            <x v="0"/>
          </reference>
          <reference field="2" count="0"/>
          <reference field="16" count="0" selected="0"/>
        </references>
      </pivotArea>
    </format>
    <format dxfId="373">
      <pivotArea dataOnly="0" labelOnly="1" fieldPosition="0">
        <references count="3">
          <reference field="1" count="1" selected="0">
            <x v="1"/>
          </reference>
          <reference field="2" count="0"/>
          <reference field="16" count="0" selected="0"/>
        </references>
      </pivotArea>
    </format>
    <format dxfId="372">
      <pivotArea dataOnly="0" labelOnly="1" fieldPosition="0">
        <references count="3">
          <reference field="1" count="1" selected="0">
            <x v="2"/>
          </reference>
          <reference field="2" count="0"/>
          <reference field="16" count="0" selected="0"/>
        </references>
      </pivotArea>
    </format>
    <format dxfId="371">
      <pivotArea dataOnly="0" labelOnly="1" fieldPosition="0">
        <references count="3">
          <reference field="1" count="1" selected="0">
            <x v="3"/>
          </reference>
          <reference field="2" count="0"/>
          <reference field="16" count="0" selected="0"/>
        </references>
      </pivotArea>
    </format>
    <format dxfId="370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4"/>
          </reference>
          <reference field="16" count="0" selected="0"/>
        </references>
      </pivotArea>
    </format>
    <format dxfId="369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5"/>
          </reference>
          <reference field="16" count="0" selected="0"/>
        </references>
      </pivotArea>
    </format>
    <format dxfId="368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4">
            <x v="0"/>
            <x v="2"/>
            <x v="3"/>
            <x v="6"/>
          </reference>
          <reference field="16" count="0" selected="0"/>
        </references>
      </pivotArea>
    </format>
    <format dxfId="367">
      <pivotArea dataOnly="0" labelOnly="1" fieldPosition="0">
        <references count="4">
          <reference field="1" count="1" selected="0">
            <x v="3"/>
          </reference>
          <reference field="2" count="0" selected="0"/>
          <reference field="3" count="1">
            <x v="1"/>
          </reference>
          <reference field="16" count="0" selected="0"/>
        </references>
      </pivotArea>
    </format>
    <format dxfId="366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5">
            <x v="3"/>
            <x v="4"/>
            <x v="5"/>
            <x v="6"/>
            <x v="7"/>
          </reference>
          <reference field="16" count="0" selected="0"/>
        </references>
      </pivotArea>
    </format>
    <format dxfId="365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5"/>
          </reference>
          <reference field="4" count="1">
            <x v="2"/>
          </reference>
          <reference field="16" count="0" selected="0"/>
        </references>
      </pivotArea>
    </format>
    <format dxfId="364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0"/>
          </reference>
          <reference field="4" count="1">
            <x v="2"/>
          </reference>
          <reference field="16" count="0" selected="0"/>
        </references>
      </pivotArea>
    </format>
    <format dxfId="363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362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3"/>
          </reference>
          <reference field="4" count="1">
            <x v="2"/>
          </reference>
          <reference field="16" count="0" selected="0"/>
        </references>
      </pivotArea>
    </format>
    <format dxfId="361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6"/>
          </reference>
          <reference field="4" count="1">
            <x v="0"/>
          </reference>
          <reference field="16" count="0" selected="0"/>
        </references>
      </pivotArea>
    </format>
    <format dxfId="360">
      <pivotArea dataOnly="0" labelOnly="1" fieldPosition="0">
        <references count="5">
          <reference field="1" count="1" selected="0">
            <x v="3"/>
          </reference>
          <reference field="2" count="0" selected="0"/>
          <reference field="3" count="1" selected="0">
            <x v="1"/>
          </reference>
          <reference field="4" count="1">
            <x v="1"/>
          </reference>
          <reference field="16" count="0" selected="0"/>
        </references>
      </pivotArea>
    </format>
    <format dxfId="359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3"/>
          </reference>
          <reference field="5" count="0"/>
          <reference field="16" count="0" selected="0"/>
        </references>
      </pivotArea>
    </format>
    <format dxfId="358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4"/>
          </reference>
          <reference field="5" count="0"/>
          <reference field="16" count="0" selected="0"/>
        </references>
      </pivotArea>
    </format>
    <format dxfId="357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5"/>
          </reference>
          <reference field="5" count="0"/>
          <reference field="16" count="0" selected="0"/>
        </references>
      </pivotArea>
    </format>
    <format dxfId="356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6"/>
          </reference>
          <reference field="5" count="0"/>
          <reference field="16" count="0" selected="0"/>
        </references>
      </pivotArea>
    </format>
    <format dxfId="35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7"/>
          </reference>
          <reference field="5" count="0"/>
          <reference field="16" count="0" selected="0"/>
        </references>
      </pivotArea>
    </format>
    <format dxfId="354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5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53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52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51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3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50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6"/>
          </reference>
          <reference field="4" count="1" selected="0">
            <x v="0"/>
          </reference>
          <reference field="5" count="0"/>
          <reference field="16" count="0" selected="0"/>
        </references>
      </pivotArea>
    </format>
    <format dxfId="349">
      <pivotArea dataOnly="0" labelOnly="1" fieldPosition="0">
        <references count="6">
          <reference field="1" count="1" selected="0">
            <x v="3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/>
          <reference field="16" count="0" selected="0"/>
        </references>
      </pivotArea>
    </format>
    <format dxfId="348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/>
          <reference field="16" count="0" selected="0"/>
        </references>
      </pivotArea>
    </format>
    <format dxfId="347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/>
          <reference field="16" count="0" selected="0"/>
        </references>
      </pivotArea>
    </format>
    <format dxfId="346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/>
          <reference field="16" count="0" selected="0"/>
        </references>
      </pivotArea>
    </format>
    <format dxfId="345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/>
          <reference field="16" count="0" selected="0"/>
        </references>
      </pivotArea>
    </format>
    <format dxfId="344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/>
          <reference field="16" count="0" selected="0"/>
        </references>
      </pivotArea>
    </format>
    <format dxfId="343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42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41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40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39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/>
          <reference field="16" count="0" selected="0"/>
        </references>
      </pivotArea>
    </format>
    <format dxfId="338">
      <pivotArea dataOnly="0" labelOnly="1" fieldPosition="0">
        <references count="7">
          <reference field="1" count="1" selected="0">
            <x v="3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16" count="0" selected="0"/>
        </references>
      </pivotArea>
    </format>
    <format dxfId="337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36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35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34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33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32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31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30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29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28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27">
      <pivotArea dataOnly="0" labelOnly="1" fieldPosition="0">
        <references count="8">
          <reference field="1" count="1" selected="0">
            <x v="3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326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325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 selected="0"/>
          <reference field="8" count="10"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324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 selected="0"/>
          <reference field="8" count="9"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323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 selected="0"/>
          <reference field="8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322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0" selected="0"/>
          <reference field="8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321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320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319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318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317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316">
      <pivotArea dataOnly="0" labelOnly="1" fieldPosition="0">
        <references count="9">
          <reference field="1" count="1" selected="0">
            <x v="3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31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14">
      <pivotArea type="all" dataOnly="0" outline="0" fieldPosition="0"/>
    </format>
    <format dxfId="313">
      <pivotArea outline="0" collapsedLevelsAreSubtotals="1" fieldPosition="0"/>
    </format>
    <format dxfId="312">
      <pivotArea field="16" type="button" dataOnly="0" labelOnly="1" outline="0" axis="axisRow" fieldPosition="0"/>
    </format>
    <format dxfId="311">
      <pivotArea dataOnly="0" labelOnly="1" fieldPosition="0">
        <references count="1">
          <reference field="16" count="0"/>
        </references>
      </pivotArea>
    </format>
    <format dxfId="310">
      <pivotArea dataOnly="0" labelOnly="1" fieldPosition="0">
        <references count="2">
          <reference field="1" count="0"/>
          <reference field="16" count="0" selected="0"/>
        </references>
      </pivotArea>
    </format>
    <format dxfId="309">
      <pivotArea dataOnly="0" labelOnly="1" fieldPosition="0">
        <references count="3">
          <reference field="1" count="1" selected="0">
            <x v="0"/>
          </reference>
          <reference field="2" count="0"/>
          <reference field="16" count="0" selected="0"/>
        </references>
      </pivotArea>
    </format>
    <format dxfId="308">
      <pivotArea dataOnly="0" labelOnly="1" fieldPosition="0">
        <references count="3">
          <reference field="1" count="1" selected="0">
            <x v="1"/>
          </reference>
          <reference field="2" count="0"/>
          <reference field="16" count="0" selected="0"/>
        </references>
      </pivotArea>
    </format>
    <format dxfId="307">
      <pivotArea dataOnly="0" labelOnly="1" fieldPosition="0">
        <references count="3">
          <reference field="1" count="1" selected="0">
            <x v="2"/>
          </reference>
          <reference field="2" count="0"/>
          <reference field="16" count="0" selected="0"/>
        </references>
      </pivotArea>
    </format>
    <format dxfId="306">
      <pivotArea dataOnly="0" labelOnly="1" fieldPosition="0">
        <references count="3">
          <reference field="1" count="1" selected="0">
            <x v="3"/>
          </reference>
          <reference field="2" count="0"/>
          <reference field="16" count="0" selected="0"/>
        </references>
      </pivotArea>
    </format>
    <format dxfId="305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4"/>
          </reference>
          <reference field="16" count="0" selected="0"/>
        </references>
      </pivotArea>
    </format>
    <format dxfId="304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5"/>
          </reference>
          <reference field="16" count="0" selected="0"/>
        </references>
      </pivotArea>
    </format>
    <format dxfId="303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4">
            <x v="0"/>
            <x v="2"/>
            <x v="3"/>
            <x v="6"/>
          </reference>
          <reference field="16" count="0" selected="0"/>
        </references>
      </pivotArea>
    </format>
    <format dxfId="302">
      <pivotArea dataOnly="0" labelOnly="1" fieldPosition="0">
        <references count="4">
          <reference field="1" count="1" selected="0">
            <x v="3"/>
          </reference>
          <reference field="2" count="0" selected="0"/>
          <reference field="3" count="1">
            <x v="1"/>
          </reference>
          <reference field="16" count="0" selected="0"/>
        </references>
      </pivotArea>
    </format>
    <format dxfId="301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5">
            <x v="3"/>
            <x v="4"/>
            <x v="5"/>
            <x v="6"/>
            <x v="7"/>
          </reference>
          <reference field="16" count="0" selected="0"/>
        </references>
      </pivotArea>
    </format>
    <format dxfId="300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5"/>
          </reference>
          <reference field="4" count="1">
            <x v="2"/>
          </reference>
          <reference field="16" count="0" selected="0"/>
        </references>
      </pivotArea>
    </format>
    <format dxfId="299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0"/>
          </reference>
          <reference field="4" count="1">
            <x v="2"/>
          </reference>
          <reference field="16" count="0" selected="0"/>
        </references>
      </pivotArea>
    </format>
    <format dxfId="298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297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3"/>
          </reference>
          <reference field="4" count="1">
            <x v="2"/>
          </reference>
          <reference field="16" count="0" selected="0"/>
        </references>
      </pivotArea>
    </format>
    <format dxfId="296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6"/>
          </reference>
          <reference field="4" count="1">
            <x v="0"/>
          </reference>
          <reference field="16" count="0" selected="0"/>
        </references>
      </pivotArea>
    </format>
    <format dxfId="295">
      <pivotArea dataOnly="0" labelOnly="1" fieldPosition="0">
        <references count="5">
          <reference field="1" count="1" selected="0">
            <x v="3"/>
          </reference>
          <reference field="2" count="0" selected="0"/>
          <reference field="3" count="1" selected="0">
            <x v="1"/>
          </reference>
          <reference field="4" count="1">
            <x v="1"/>
          </reference>
          <reference field="16" count="0" selected="0"/>
        </references>
      </pivotArea>
    </format>
    <format dxfId="294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3"/>
          </reference>
          <reference field="5" count="0"/>
          <reference field="16" count="0" selected="0"/>
        </references>
      </pivotArea>
    </format>
    <format dxfId="293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4"/>
          </reference>
          <reference field="5" count="0"/>
          <reference field="16" count="0" selected="0"/>
        </references>
      </pivotArea>
    </format>
    <format dxfId="292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5"/>
          </reference>
          <reference field="5" count="0"/>
          <reference field="16" count="0" selected="0"/>
        </references>
      </pivotArea>
    </format>
    <format dxfId="291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6"/>
          </reference>
          <reference field="5" count="0"/>
          <reference field="16" count="0" selected="0"/>
        </references>
      </pivotArea>
    </format>
    <format dxfId="290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7"/>
          </reference>
          <reference field="5" count="0"/>
          <reference field="16" count="0" selected="0"/>
        </references>
      </pivotArea>
    </format>
    <format dxfId="289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5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288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287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286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3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285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6"/>
          </reference>
          <reference field="4" count="1" selected="0">
            <x v="0"/>
          </reference>
          <reference field="5" count="0"/>
          <reference field="16" count="0" selected="0"/>
        </references>
      </pivotArea>
    </format>
    <format dxfId="284">
      <pivotArea dataOnly="0" labelOnly="1" fieldPosition="0">
        <references count="6">
          <reference field="1" count="1" selected="0">
            <x v="3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/>
          <reference field="16" count="0" selected="0"/>
        </references>
      </pivotArea>
    </format>
    <format dxfId="283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/>
          <reference field="16" count="0" selected="0"/>
        </references>
      </pivotArea>
    </format>
    <format dxfId="282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/>
          <reference field="16" count="0" selected="0"/>
        </references>
      </pivotArea>
    </format>
    <format dxfId="281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/>
          <reference field="16" count="0" selected="0"/>
        </references>
      </pivotArea>
    </format>
    <format dxfId="280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/>
          <reference field="16" count="0" selected="0"/>
        </references>
      </pivotArea>
    </format>
    <format dxfId="279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/>
          <reference field="16" count="0" selected="0"/>
        </references>
      </pivotArea>
    </format>
    <format dxfId="278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77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76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75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74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/>
          <reference field="16" count="0" selected="0"/>
        </references>
      </pivotArea>
    </format>
    <format dxfId="273">
      <pivotArea dataOnly="0" labelOnly="1" fieldPosition="0">
        <references count="7">
          <reference field="1" count="1" selected="0">
            <x v="3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16" count="0" selected="0"/>
        </references>
      </pivotArea>
    </format>
    <format dxfId="272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71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70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69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68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67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66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65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64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63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62">
      <pivotArea dataOnly="0" labelOnly="1" fieldPosition="0">
        <references count="8">
          <reference field="1" count="1" selected="0">
            <x v="3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/>
          <reference field="16" count="0" selected="0"/>
        </references>
      </pivotArea>
    </format>
    <format dxfId="261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260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 selected="0"/>
          <reference field="8" count="10"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259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 selected="0"/>
          <reference field="8" count="9"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258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 selected="0"/>
          <reference field="8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257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0" selected="0"/>
          <reference field="8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256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255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254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253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252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251">
      <pivotArea dataOnly="0" labelOnly="1" fieldPosition="0">
        <references count="9">
          <reference field="1" count="1" selected="0">
            <x v="3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 selected="0"/>
          <reference field="8" count="0"/>
          <reference field="16" count="0" selected="0"/>
        </references>
      </pivotArea>
    </format>
    <format dxfId="25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7A198-0803-4064-BB0E-E555D906DA57}" name="Subsidio Resumo" cacheId="1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5" indent="0" outline="1" outlineData="1" multipleFieldFilters="0">
  <location ref="A1:G111" firstHeaderRow="0" firstDataRow="1" firstDataCol="1"/>
  <pivotFields count="3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6"/>
        <item x="5"/>
        <item x="0"/>
        <item x="1"/>
        <item x="2"/>
        <item x="3"/>
        <item x="4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numFmtId="14" showAll="0">
      <items count="13"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showAll="0"/>
    <pivotField showAll="0"/>
    <pivotField showAll="0"/>
    <pivotField showAll="0"/>
    <pivotField numFmtId="40" showAll="0"/>
    <pivotField numFmtId="40" showAll="0"/>
    <pivotField numFmtId="40" showAll="0"/>
    <pivotField showAll="0"/>
    <pivotField numFmtId="40" showAll="0"/>
    <pivotField numFmtId="40" showAll="0"/>
    <pivotField dataField="1" numFmtId="40" showAll="0"/>
    <pivotField dataField="1" numFmtId="40" showAll="0"/>
    <pivotField dataField="1" numFmtId="40" showAll="0"/>
    <pivotField dataField="1" numFmtId="40" showAll="0"/>
    <pivotField axis="axisRow" showAll="0">
      <items count="5">
        <item x="3"/>
        <item x="1"/>
        <item x="2"/>
        <item x="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9">
    <field x="31"/>
    <field x="1"/>
    <field x="2"/>
    <field x="3"/>
    <field x="4"/>
    <field x="5"/>
    <field x="6"/>
    <field x="7"/>
    <field x="8"/>
  </rowFields>
  <rowItems count="110">
    <i>
      <x/>
    </i>
    <i r="1">
      <x v="2"/>
    </i>
    <i r="2">
      <x/>
    </i>
    <i r="3">
      <x v="2"/>
    </i>
    <i r="4">
      <x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1"/>
    </i>
    <i r="1">
      <x/>
    </i>
    <i r="2">
      <x/>
    </i>
    <i r="3">
      <x/>
    </i>
    <i r="4">
      <x v="3"/>
    </i>
    <i r="5">
      <x/>
    </i>
    <i r="6">
      <x/>
    </i>
    <i r="7">
      <x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4"/>
    </i>
    <i r="5">
      <x/>
    </i>
    <i r="6">
      <x/>
    </i>
    <i r="7">
      <x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5"/>
    </i>
    <i r="5">
      <x/>
    </i>
    <i r="6">
      <x/>
    </i>
    <i r="7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6"/>
    </i>
    <i r="5">
      <x/>
    </i>
    <i r="6">
      <x/>
    </i>
    <i r="7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2"/>
    </i>
    <i r="1">
      <x v="1"/>
    </i>
    <i r="2">
      <x/>
    </i>
    <i r="3">
      <x v="1"/>
    </i>
    <i r="4">
      <x v="1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3"/>
    </i>
    <i r="1">
      <x/>
    </i>
    <i r="2">
      <x/>
    </i>
    <i r="3">
      <x/>
    </i>
    <i r="4">
      <x v="2"/>
    </i>
    <i r="5">
      <x/>
    </i>
    <i r="6">
      <x/>
    </i>
    <i r="7">
      <x/>
    </i>
    <i r="8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UBSIDIO kW - TV" fld="27" baseField="0" baseItem="0"/>
    <dataField name="Soma de SUBSIDIO MWh - TV" fld="28" baseField="0" baseItem="0"/>
    <dataField name="Soma de SUBSIDIO kW - TN" fld="29" baseField="0" baseItem="0"/>
    <dataField name="Soma de SUBSIDIO MWh - TN" fld="30" baseField="0" baseItem="0"/>
    <dataField name="Soma de TOTAL TV" fld="32" baseField="0" baseItem="0" numFmtId="40"/>
    <dataField name="Soma de TOTAL TN" fld="33" baseField="0" baseItem="0" numFmtId="40"/>
  </dataFields>
  <formats count="100">
    <format dxfId="249">
      <pivotArea outline="0" collapsedLevelsAreSubtotals="1" fieldPosition="0"/>
    </format>
    <format dxfId="24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field="31" type="button" dataOnly="0" labelOnly="1" outline="0" axis="axisRow" fieldPosition="0"/>
    </format>
    <format dxfId="244">
      <pivotArea dataOnly="0" labelOnly="1" fieldPosition="0">
        <references count="1">
          <reference field="31" count="0"/>
        </references>
      </pivotArea>
    </format>
    <format dxfId="243">
      <pivotArea dataOnly="0" labelOnly="1" fieldPosition="0">
        <references count="2">
          <reference field="1" count="1">
            <x v="2"/>
          </reference>
          <reference field="31" count="1" selected="0">
            <x v="0"/>
          </reference>
        </references>
      </pivotArea>
    </format>
    <format dxfId="242">
      <pivotArea dataOnly="0" labelOnly="1" fieldPosition="0">
        <references count="2">
          <reference field="1" count="1">
            <x v="0"/>
          </reference>
          <reference field="31" count="1" selected="0">
            <x v="1"/>
          </reference>
        </references>
      </pivotArea>
    </format>
    <format dxfId="241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240">
      <pivotArea dataOnly="0" labelOnly="1" fieldPosition="0">
        <references count="2">
          <reference field="1" count="1">
            <x v="0"/>
          </reference>
          <reference field="31" count="1" selected="0">
            <x v="3"/>
          </reference>
        </references>
      </pivotArea>
    </format>
    <format dxfId="239">
      <pivotArea dataOnly="0" labelOnly="1" fieldPosition="0">
        <references count="3">
          <reference field="1" count="1" selected="0">
            <x v="2"/>
          </reference>
          <reference field="2" count="0"/>
          <reference field="31" count="1" selected="0">
            <x v="0"/>
          </reference>
        </references>
      </pivotArea>
    </format>
    <format dxfId="238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1"/>
          </reference>
        </references>
      </pivotArea>
    </format>
    <format dxfId="237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236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3"/>
          </reference>
        </references>
      </pivotArea>
    </format>
    <format dxfId="235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1">
            <x v="2"/>
          </reference>
          <reference field="31" count="1" selected="0">
            <x v="0"/>
          </reference>
        </references>
      </pivotArea>
    </format>
    <format dxfId="234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1"/>
          </reference>
        </references>
      </pivotArea>
    </format>
    <format dxfId="233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232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3"/>
          </reference>
        </references>
      </pivotArea>
    </format>
    <format dxfId="231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0"/>
          </reference>
          <reference field="31" count="1" selected="0">
            <x v="0"/>
          </reference>
        </references>
      </pivotArea>
    </format>
    <format dxfId="230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3"/>
            <x v="4"/>
            <x v="5"/>
            <x v="6"/>
          </reference>
          <reference field="31" count="1" selected="0">
            <x v="1"/>
          </reference>
        </references>
      </pivotArea>
    </format>
    <format dxfId="229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1"/>
          </reference>
          <reference field="31" count="1" selected="0">
            <x v="2"/>
          </reference>
        </references>
      </pivotArea>
    </format>
    <format dxfId="228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2"/>
          </reference>
          <reference field="31" count="1" selected="0">
            <x v="3"/>
          </reference>
        </references>
      </pivotArea>
    </format>
    <format dxfId="227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/>
          <reference field="31" count="1" selected="0">
            <x v="0"/>
          </reference>
        </references>
      </pivotArea>
    </format>
    <format dxfId="226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/>
          <reference field="31" count="1" selected="0">
            <x v="1"/>
          </reference>
        </references>
      </pivotArea>
    </format>
    <format dxfId="22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/>
          <reference field="31" count="1" selected="0">
            <x v="1"/>
          </reference>
        </references>
      </pivotArea>
    </format>
    <format dxfId="224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/>
          <reference field="31" count="1" selected="0">
            <x v="1"/>
          </reference>
        </references>
      </pivotArea>
    </format>
    <format dxfId="223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/>
          <reference field="31" count="1" selected="0">
            <x v="1"/>
          </reference>
        </references>
      </pivotArea>
    </format>
    <format dxfId="222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/>
          <reference field="31" count="1" selected="0">
            <x v="2"/>
          </reference>
        </references>
      </pivotArea>
    </format>
    <format dxfId="221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/>
          <reference field="31" count="1" selected="0">
            <x v="3"/>
          </reference>
        </references>
      </pivotArea>
    </format>
    <format dxfId="220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/>
          <reference field="31" count="1" selected="0">
            <x v="0"/>
          </reference>
        </references>
      </pivotArea>
    </format>
    <format dxfId="219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18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17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16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15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31" count="1" selected="0">
            <x v="2"/>
          </reference>
        </references>
      </pivotArea>
    </format>
    <format dxfId="214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31" count="1" selected="0">
            <x v="3"/>
          </reference>
        </references>
      </pivotArea>
    </format>
    <format dxfId="213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/>
          <reference field="31" count="1" selected="0">
            <x v="0"/>
          </reference>
        </references>
      </pivotArea>
    </format>
    <format dxfId="212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11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10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09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08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/>
          <reference field="31" count="1" selected="0">
            <x v="2"/>
          </reference>
        </references>
      </pivotArea>
    </format>
    <format dxfId="207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31" count="1" selected="0">
            <x v="3"/>
          </reference>
        </references>
      </pivotArea>
    </format>
    <format dxfId="206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205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 selected="0"/>
          <reference field="8" count="10"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1" count="1" selected="0">
            <x v="1"/>
          </reference>
        </references>
      </pivotArea>
    </format>
    <format dxfId="204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 selected="0"/>
          <reference field="8" count="9">
            <x v="3"/>
            <x v="4"/>
            <x v="5"/>
            <x v="6"/>
            <x v="7"/>
            <x v="8"/>
            <x v="9"/>
            <x v="10"/>
            <x v="11"/>
          </reference>
          <reference field="31" count="1" selected="0">
            <x v="1"/>
          </reference>
        </references>
      </pivotArea>
    </format>
    <format dxfId="203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 selected="0"/>
          <reference field="8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1" count="1" selected="0">
            <x v="1"/>
          </reference>
        </references>
      </pivotArea>
    </format>
    <format dxfId="202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 selected="0"/>
          <reference field="8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1" count="1" selected="0">
            <x v="1"/>
          </reference>
        </references>
      </pivotArea>
    </format>
    <format dxfId="201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2"/>
          </reference>
        </references>
      </pivotArea>
    </format>
    <format dxfId="200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1">
            <x v="0"/>
          </reference>
          <reference field="31" count="1" selected="0">
            <x v="3"/>
          </reference>
        </references>
      </pivotArea>
    </format>
    <format dxfId="19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31" type="button" dataOnly="0" labelOnly="1" outline="0" axis="axisRow" fieldPosition="0"/>
    </format>
    <format dxfId="195">
      <pivotArea dataOnly="0" labelOnly="1" fieldPosition="0">
        <references count="1">
          <reference field="31" count="0"/>
        </references>
      </pivotArea>
    </format>
    <format dxfId="194">
      <pivotArea dataOnly="0" labelOnly="1" fieldPosition="0">
        <references count="2">
          <reference field="1" count="1">
            <x v="2"/>
          </reference>
          <reference field="31" count="1" selected="0">
            <x v="0"/>
          </reference>
        </references>
      </pivotArea>
    </format>
    <format dxfId="193">
      <pivotArea dataOnly="0" labelOnly="1" fieldPosition="0">
        <references count="2">
          <reference field="1" count="1">
            <x v="0"/>
          </reference>
          <reference field="31" count="1" selected="0">
            <x v="1"/>
          </reference>
        </references>
      </pivotArea>
    </format>
    <format dxfId="192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191">
      <pivotArea dataOnly="0" labelOnly="1" fieldPosition="0">
        <references count="2">
          <reference field="1" count="1">
            <x v="0"/>
          </reference>
          <reference field="31" count="1" selected="0">
            <x v="3"/>
          </reference>
        </references>
      </pivotArea>
    </format>
    <format dxfId="190">
      <pivotArea dataOnly="0" labelOnly="1" fieldPosition="0">
        <references count="3">
          <reference field="1" count="1" selected="0">
            <x v="2"/>
          </reference>
          <reference field="2" count="0"/>
          <reference field="31" count="1" selected="0">
            <x v="0"/>
          </reference>
        </references>
      </pivotArea>
    </format>
    <format dxfId="189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1"/>
          </reference>
        </references>
      </pivotArea>
    </format>
    <format dxfId="188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187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3"/>
          </reference>
        </references>
      </pivotArea>
    </format>
    <format dxfId="186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1">
            <x v="2"/>
          </reference>
          <reference field="31" count="1" selected="0">
            <x v="0"/>
          </reference>
        </references>
      </pivotArea>
    </format>
    <format dxfId="185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1"/>
          </reference>
        </references>
      </pivotArea>
    </format>
    <format dxfId="184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183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3"/>
          </reference>
        </references>
      </pivotArea>
    </format>
    <format dxfId="182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0"/>
          </reference>
          <reference field="31" count="1" selected="0">
            <x v="0"/>
          </reference>
        </references>
      </pivotArea>
    </format>
    <format dxfId="181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3"/>
            <x v="4"/>
            <x v="5"/>
            <x v="6"/>
          </reference>
          <reference field="31" count="1" selected="0">
            <x v="1"/>
          </reference>
        </references>
      </pivotArea>
    </format>
    <format dxfId="180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1"/>
          </reference>
          <reference field="31" count="1" selected="0">
            <x v="2"/>
          </reference>
        </references>
      </pivotArea>
    </format>
    <format dxfId="179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2"/>
          </reference>
          <reference field="31" count="1" selected="0">
            <x v="3"/>
          </reference>
        </references>
      </pivotArea>
    </format>
    <format dxfId="178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/>
          <reference field="31" count="1" selected="0">
            <x v="0"/>
          </reference>
        </references>
      </pivotArea>
    </format>
    <format dxfId="177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/>
          <reference field="31" count="1" selected="0">
            <x v="1"/>
          </reference>
        </references>
      </pivotArea>
    </format>
    <format dxfId="176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/>
          <reference field="31" count="1" selected="0">
            <x v="1"/>
          </reference>
        </references>
      </pivotArea>
    </format>
    <format dxfId="17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/>
          <reference field="31" count="1" selected="0">
            <x v="1"/>
          </reference>
        </references>
      </pivotArea>
    </format>
    <format dxfId="174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/>
          <reference field="31" count="1" selected="0">
            <x v="1"/>
          </reference>
        </references>
      </pivotArea>
    </format>
    <format dxfId="173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/>
          <reference field="31" count="1" selected="0">
            <x v="2"/>
          </reference>
        </references>
      </pivotArea>
    </format>
    <format dxfId="172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/>
          <reference field="31" count="1" selected="0">
            <x v="3"/>
          </reference>
        </references>
      </pivotArea>
    </format>
    <format dxfId="171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/>
          <reference field="31" count="1" selected="0">
            <x v="0"/>
          </reference>
        </references>
      </pivotArea>
    </format>
    <format dxfId="170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9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8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7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6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31" count="1" selected="0">
            <x v="2"/>
          </reference>
        </references>
      </pivotArea>
    </format>
    <format dxfId="165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31" count="1" selected="0">
            <x v="3"/>
          </reference>
        </references>
      </pivotArea>
    </format>
    <format dxfId="164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/>
          <reference field="31" count="1" selected="0">
            <x v="0"/>
          </reference>
        </references>
      </pivotArea>
    </format>
    <format dxfId="163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62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61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60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59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/>
          <reference field="31" count="1" selected="0">
            <x v="2"/>
          </reference>
        </references>
      </pivotArea>
    </format>
    <format dxfId="158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31" count="1" selected="0">
            <x v="3"/>
          </reference>
        </references>
      </pivotArea>
    </format>
    <format dxfId="157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156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 selected="0"/>
          <reference field="8" count="10"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1" count="1" selected="0">
            <x v="1"/>
          </reference>
        </references>
      </pivotArea>
    </format>
    <format dxfId="155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 selected="0"/>
          <reference field="8" count="9">
            <x v="3"/>
            <x v="4"/>
            <x v="5"/>
            <x v="6"/>
            <x v="7"/>
            <x v="8"/>
            <x v="9"/>
            <x v="10"/>
            <x v="11"/>
          </reference>
          <reference field="31" count="1" selected="0">
            <x v="1"/>
          </reference>
        </references>
      </pivotArea>
    </format>
    <format dxfId="154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 selected="0"/>
          <reference field="8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1" count="1" selected="0">
            <x v="1"/>
          </reference>
        </references>
      </pivotArea>
    </format>
    <format dxfId="153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 selected="0"/>
          <reference field="8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1" count="1" selected="0">
            <x v="1"/>
          </reference>
        </references>
      </pivotArea>
    </format>
    <format dxfId="152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2"/>
          </reference>
        </references>
      </pivotArea>
    </format>
    <format dxfId="151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1">
            <x v="0"/>
          </reference>
          <reference field="31" count="1" selected="0">
            <x v="3"/>
          </reference>
        </references>
      </pivotArea>
    </format>
    <format dxfId="15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659200B-6215-4CD3-BF19-24A7648DA999}" autoFormatId="0" applyNumberFormats="0" applyBorderFormats="0" applyFontFormats="1" applyPatternFormats="1" applyAlignmentFormats="0" applyWidthHeightFormats="0">
  <queryTableRefresh nextId="46">
    <queryTableFields count="45">
      <queryTableField id="1" name="SUBGRUPO" tableColumnId="46"/>
      <queryTableField id="2" name="MODALIDADE" tableColumnId="47"/>
      <queryTableField id="3" name="CLASSE" tableColumnId="48"/>
      <queryTableField id="4" name="SUBCLASSE" tableColumnId="49"/>
      <queryTableField id="5" name="DETALHE" tableColumnId="50"/>
      <queryTableField id="6" name="POSTO" tableColumnId="51"/>
      <queryTableField id="7" name="UNIDADE" tableColumnId="52"/>
      <queryTableField id="8" name="ACESSANTE" tableColumnId="53"/>
      <queryTableField id="9" name="Total TUSD" tableColumnId="54"/>
      <queryTableField id="10" name="Total TE" tableColumnId="55"/>
      <queryTableField id="11" name="TUSD_CDE_COVID" tableColumnId="56"/>
      <queryTableField id="12" name="TUSD_TFSEE" tableColumnId="57"/>
      <queryTableField id="13" name="TUSD_PeD" tableColumnId="58"/>
      <queryTableField id="14" name="TUSD_ONS" tableColumnId="59"/>
      <queryTableField id="15" name="TUSD_CCC" tableColumnId="60"/>
      <queryTableField id="16" name="TUSD_CDE" tableColumnId="61"/>
      <queryTableField id="17" name="TUSD_PROINFA" tableColumnId="62"/>
      <queryTableField id="18" name="Liminar1" tableColumnId="63"/>
      <queryTableField id="19" name="TUSD_RB" tableColumnId="64"/>
      <queryTableField id="20" name="TUSD_FR" tableColumnId="65"/>
      <queryTableField id="21" name="TUSD_CCT" tableColumnId="66"/>
      <queryTableField id="22" name="TUSD_CCD" tableColumnId="67"/>
      <queryTableField id="23" name="TUSD_CUSD" tableColumnId="68"/>
      <queryTableField id="24" name="TUSDG_T" tableColumnId="69"/>
      <queryTableField id="25" name="TUSDG_ONS" tableColumnId="70"/>
      <queryTableField id="26" name="TUSD_FioB" tableColumnId="71"/>
      <queryTableField id="27" name="TUSD Subsidio" tableColumnId="72"/>
      <queryTableField id="28" name="TUSD BENEFICIO_L14299" tableColumnId="73"/>
      <queryTableField id="29" name="TUSD Outros" tableColumnId="74"/>
      <queryTableField id="30" name="TUSD_PT" tableColumnId="75"/>
      <queryTableField id="31" name="TUSD_Per_RB_D" tableColumnId="76"/>
      <queryTableField id="32" name="TUSD_PNT" tableColumnId="77"/>
      <queryTableField id="33" name="TUSD_RI" tableColumnId="78"/>
      <queryTableField id="34" name="TE_CDE_COVID" tableColumnId="79"/>
      <queryTableField id="35" name="TE_CDE_ELET" tableColumnId="80"/>
      <queryTableField id="36" name="TE_PeD" tableColumnId="81"/>
      <queryTableField id="37" name="TE_ESSERR" tableColumnId="82"/>
      <queryTableField id="38" name="TE_CFURH" tableColumnId="83"/>
      <queryTableField id="39" name="TE_ENERGIA" tableColumnId="84"/>
      <queryTableField id="40" name="TE_TRANSPORTE_ITAIPU" tableColumnId="85"/>
      <queryTableField id="41" name="TE_TUST_ITAIPU" tableColumnId="86"/>
      <queryTableField id="42" name="TE_TUST_CI" tableColumnId="87"/>
      <queryTableField id="43" name="TE Subsidio" tableColumnId="88"/>
      <queryTableField id="44" name="TE BENEFICIO_L14299" tableColumnId="89"/>
      <queryTableField id="45" name="TE_Per_RB" tableColumnId="9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BD6448A-951E-4258-9442-F4554E16AE55}" autoFormatId="0" applyNumberFormats="0" applyBorderFormats="0" applyFontFormats="1" applyPatternFormats="1" applyAlignmentFormats="0" applyWidthHeightFormats="0">
  <queryTableRefresh nextId="46">
    <queryTableFields count="45">
      <queryTableField id="1" name="SUBGRUPO" tableColumnId="46"/>
      <queryTableField id="2" name="MODALIDADE" tableColumnId="47"/>
      <queryTableField id="3" name="CLASSE" tableColumnId="48"/>
      <queryTableField id="4" name="SUBCLASSE" tableColumnId="49"/>
      <queryTableField id="5" name="DETALHE" tableColumnId="50"/>
      <queryTableField id="6" name="POSTO" tableColumnId="51"/>
      <queryTableField id="7" name="UNIDADE" tableColumnId="52"/>
      <queryTableField id="8" name="ACESSANTE" tableColumnId="53"/>
      <queryTableField id="9" name="Total TUSD" tableColumnId="54"/>
      <queryTableField id="10" name="Total TE" tableColumnId="55"/>
      <queryTableField id="11" name="TUSD_CDE_COVID" tableColumnId="56"/>
      <queryTableField id="12" name="TUSD_TFSEE" tableColumnId="57"/>
      <queryTableField id="13" name="TUSD_PeD" tableColumnId="58"/>
      <queryTableField id="14" name="TUSD_ONS" tableColumnId="59"/>
      <queryTableField id="15" name="TUSD_CCC" tableColumnId="60"/>
      <queryTableField id="16" name="TUSD_CDE" tableColumnId="61"/>
      <queryTableField id="17" name="TUSD_PROINFA" tableColumnId="62"/>
      <queryTableField id="18" name="Liminar1" tableColumnId="63"/>
      <queryTableField id="19" name="TUSD_RB" tableColumnId="64"/>
      <queryTableField id="20" name="TUSD_FR" tableColumnId="65"/>
      <queryTableField id="21" name="TUSD_CCT" tableColumnId="66"/>
      <queryTableField id="22" name="TUSD_CCD" tableColumnId="67"/>
      <queryTableField id="23" name="TUSD_CUSD" tableColumnId="68"/>
      <queryTableField id="24" name="TUSDG_T" tableColumnId="69"/>
      <queryTableField id="25" name="TUSDG_ONS" tableColumnId="70"/>
      <queryTableField id="26" name="TUSD_FioB" tableColumnId="71"/>
      <queryTableField id="27" name="TUSD Subsidio" tableColumnId="72"/>
      <queryTableField id="28" name="TUSD BENEFICIO_L14299" tableColumnId="73"/>
      <queryTableField id="29" name="TUSD Outros" tableColumnId="74"/>
      <queryTableField id="30" name="TUSD_PT" tableColumnId="75"/>
      <queryTableField id="31" name="TUSD_Per_RB_D" tableColumnId="76"/>
      <queryTableField id="32" name="TUSD_PNT" tableColumnId="77"/>
      <queryTableField id="33" name="TUSD_RI" tableColumnId="78"/>
      <queryTableField id="34" name="TE_CDE_COVID" tableColumnId="79"/>
      <queryTableField id="35" name="TE_CDE_ELET" tableColumnId="80"/>
      <queryTableField id="36" name="TE_PeD" tableColumnId="81"/>
      <queryTableField id="37" name="TE_ESSERR" tableColumnId="82"/>
      <queryTableField id="38" name="TE_CFURH" tableColumnId="83"/>
      <queryTableField id="39" name="TE_ENERGIA" tableColumnId="84"/>
      <queryTableField id="40" name="TE_TRANSPORTE_ITAIPU" tableColumnId="85"/>
      <queryTableField id="41" name="TE_TUST_ITAIPU" tableColumnId="86"/>
      <queryTableField id="42" name="TE_TUST_CI" tableColumnId="87"/>
      <queryTableField id="43" name="TE Subsidio" tableColumnId="88"/>
      <queryTableField id="44" name="TE BENEFICIO_L14299" tableColumnId="89"/>
      <queryTableField id="45" name="TE_Per_RB" tableColumnId="9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3B56088A-8670-44FD-AFF3-CD3D143DD800}" autoFormatId="0" applyNumberFormats="0" applyBorderFormats="0" applyFontFormats="1" applyPatternFormats="1" applyAlignmentFormats="0" applyWidthHeightFormats="0">
  <queryTableRefresh nextId="46">
    <queryTableFields count="45">
      <queryTableField id="1" name="SUBGRUPO" tableColumnId="46"/>
      <queryTableField id="2" name="MODALIDADE" tableColumnId="47"/>
      <queryTableField id="3" name="CLASSE" tableColumnId="48"/>
      <queryTableField id="4" name="SUBCLASSE" tableColumnId="49"/>
      <queryTableField id="5" name="DETALHE" tableColumnId="50"/>
      <queryTableField id="6" name="POSTO" tableColumnId="51"/>
      <queryTableField id="7" name="UNIDADE" tableColumnId="52"/>
      <queryTableField id="8" name="ACESSANTE" tableColumnId="53"/>
      <queryTableField id="9" name="Total TUSD" tableColumnId="54"/>
      <queryTableField id="10" name="Total TE" tableColumnId="55"/>
      <queryTableField id="11" name="TUSD_CDE_COVID" tableColumnId="56"/>
      <queryTableField id="12" name="TUSD_TFSEE" tableColumnId="57"/>
      <queryTableField id="13" name="TUSD_PeD" tableColumnId="58"/>
      <queryTableField id="14" name="TUSD_ONS" tableColumnId="59"/>
      <queryTableField id="15" name="TUSD_CCC" tableColumnId="60"/>
      <queryTableField id="16" name="TUSD_CDE" tableColumnId="61"/>
      <queryTableField id="17" name="TUSD_PROINFA" tableColumnId="62"/>
      <queryTableField id="18" name="Liminar1" tableColumnId="63"/>
      <queryTableField id="19" name="TUSD_RB" tableColumnId="64"/>
      <queryTableField id="20" name="TUSD_FR" tableColumnId="65"/>
      <queryTableField id="21" name="TUSD_CCT" tableColumnId="66"/>
      <queryTableField id="22" name="TUSD_CCD" tableColumnId="67"/>
      <queryTableField id="23" name="TUSD_CUSD" tableColumnId="68"/>
      <queryTableField id="24" name="TUSDG_T" tableColumnId="69"/>
      <queryTableField id="25" name="TUSDG_ONS" tableColumnId="70"/>
      <queryTableField id="26" name="TUSD_FioB" tableColumnId="71"/>
      <queryTableField id="27" name="TUSD Subsidio" tableColumnId="72"/>
      <queryTableField id="28" name="TUSD BENEFICIO_L14299" tableColumnId="73"/>
      <queryTableField id="29" name="TUSD Outros" tableColumnId="74"/>
      <queryTableField id="30" name="TUSD_PT" tableColumnId="75"/>
      <queryTableField id="31" name="TUSD_Per_RB_D" tableColumnId="76"/>
      <queryTableField id="32" name="TUSD_PNT" tableColumnId="77"/>
      <queryTableField id="33" name="TUSD_RI" tableColumnId="78"/>
      <queryTableField id="34" name="TE_CDE_COVID" tableColumnId="79"/>
      <queryTableField id="35" name="TE_CDE_ELET" tableColumnId="80"/>
      <queryTableField id="36" name="TE_PeD" tableColumnId="81"/>
      <queryTableField id="37" name="TE_ESSERR" tableColumnId="82"/>
      <queryTableField id="38" name="TE_CFURH" tableColumnId="83"/>
      <queryTableField id="39" name="TE_ENERGIA" tableColumnId="84"/>
      <queryTableField id="40" name="TE_TRANSPORTE_ITAIPU" tableColumnId="85"/>
      <queryTableField id="41" name="TE_TUST_ITAIPU" tableColumnId="86"/>
      <queryTableField id="42" name="TE_TUST_CI" tableColumnId="87"/>
      <queryTableField id="43" name="TE Subsidio" tableColumnId="88"/>
      <queryTableField id="44" name="TE BENEFICIO_L14299" tableColumnId="89"/>
      <queryTableField id="45" name="TE_Per_RB" tableColumnId="9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0A7F0-D6F8-4AAF-9D36-F059A7529D66}" name="Efeito" displayName="Efeito" ref="A1:AG174" totalsRowShown="0" headerRowDxfId="452" dataDxfId="451">
  <autoFilter ref="A1:AG174" xr:uid="{4760A7F0-D6F8-4AAF-9D36-F059A7529D66}"/>
  <tableColumns count="33">
    <tableColumn id="1" xr3:uid="{6CBF2C0C-2758-40AB-B4FB-B651E6FC1B40}" name="TipoMercado" dataDxfId="450"/>
    <tableColumn id="2" xr3:uid="{E03B0ECC-B1E8-4634-BE0B-8DF74897C9BF}" name="Subgrupo" dataDxfId="449"/>
    <tableColumn id="3" xr3:uid="{56141D51-6A59-492E-92EE-C8DADFEE442A}" name="Modalidade" dataDxfId="448"/>
    <tableColumn id="4" xr3:uid="{2752C985-1EE6-448E-A665-CE4B2CC98933}" name="Classe" dataDxfId="447"/>
    <tableColumn id="5" xr3:uid="{A8CC6466-2294-4700-92AC-7006A9BB817C}" name="Subclasse" dataDxfId="446"/>
    <tableColumn id="6" xr3:uid="{2746822B-83F7-4938-A094-3F7C08CEECD5}" name="Detalhe" dataDxfId="445"/>
    <tableColumn id="7" xr3:uid="{0C18207C-3126-409E-AD73-21F7623D621E}" name="Agente" dataDxfId="444"/>
    <tableColumn id="8" xr3:uid="{202E706F-7145-4C40-9DF2-BF2F83128079}" name="Posto" dataDxfId="443"/>
    <tableColumn id="9" xr3:uid="{8F0FCCD4-608E-4E19-8633-6709814CFF91}" name="AnoMes" dataDxfId="442"/>
    <tableColumn id="10" xr3:uid="{89A12C54-5D53-43DC-9DCE-B146B681AB52}" name="D" dataDxfId="441"/>
    <tableColumn id="11" xr3:uid="{8673B2FB-7D4D-4477-912E-B9D7B6269206}" name="Daj" dataDxfId="440"/>
    <tableColumn id="12" xr3:uid="{5E7EBC29-7452-4524-B3B0-173A345C5F39}" name="TUSD_E" dataDxfId="439"/>
    <tableColumn id="13" xr3:uid="{FCB9305B-54AE-4EB2-B2CC-50A30B8381A6}" name="TUSD_Eaj" dataDxfId="438"/>
    <tableColumn id="14" xr3:uid="{66859A68-4195-42CB-82F9-1BE534F25F11}" name="TE_E" dataDxfId="437"/>
    <tableColumn id="15" xr3:uid="{B27F2233-81A4-467B-BCA8-38D8DD7353CB}" name="TE_Eaj" dataDxfId="436"/>
    <tableColumn id="16" xr3:uid="{759B5A2A-BE5E-4C6E-8442-A723C2A3AF62}" name="UC" dataDxfId="435"/>
    <tableColumn id="17" xr3:uid="{18C34F31-46C0-4D79-ACC5-B408A66AE115}" name="OPÇÃO" dataDxfId="434"/>
    <tableColumn id="18" xr3:uid="{215A1310-9972-4CCE-BC16-1D5B17699A31}" name="CóD. AUX." dataDxfId="433"/>
    <tableColumn id="19" xr3:uid="{F6AAECD1-8B31-4E0F-98DD-326D10299CAB}" name="CóD. AUX. TUSD R$/kW" dataDxfId="432"/>
    <tableColumn id="20" xr3:uid="{42E8D87E-3780-49C0-A9D9-4A19B774D2CA}" name="CóD. AUX. TUSD R$/MWh" dataDxfId="431"/>
    <tableColumn id="21" xr3:uid="{07E79CE4-817B-4C7C-BB05-1165E8A356A3}" name="CóD. AUX. TE R$/MWh" dataDxfId="430"/>
    <tableColumn id="22" xr3:uid="{28D01058-0DC7-4978-9157-8AEF7880D530}" name="TUSD (R$/kW)" dataDxfId="429"/>
    <tableColumn id="23" xr3:uid="{4904ADD1-67BF-4B33-9C1B-DAF186A4CF8D}" name="TUSD (R$/MWh)" dataDxfId="428"/>
    <tableColumn id="24" xr3:uid="{CC8E88C6-0415-4B70-A92C-10CAFC756FE6}" name="TE (R$/MWh)" dataDxfId="427"/>
    <tableColumn id="25" xr3:uid="{B5A24A22-CB1B-4309-941A-D4B4014FF3E5}" name="TUSD (R$/kW) NOVA" dataDxfId="426"/>
    <tableColumn id="26" xr3:uid="{71B54D34-2162-4F60-AC53-12A14B048B66}" name="TUSD (R$/MWh) NOVA" dataDxfId="425">
      <calculatedColumnFormula>('TUSD BE'!$AM$50+'TUSD BF'!$AM$50+'TUSD CVA'!$AM$50)*1</calculatedColumnFormula>
    </tableColumn>
    <tableColumn id="27" xr3:uid="{FDA1FCCB-8261-4775-BE08-77897D4108C5}" name="TE (R$/MWh) NOVA" dataDxfId="424">
      <calculatedColumnFormula>('TE BE'!$AB$40+'TE BF'!$AB$40+'TE CVA'!$AB$40)*1</calculatedColumnFormula>
    </tableColumn>
    <tableColumn id="28" xr3:uid="{BCD3B4D5-AB41-4346-B86B-07F2EDC9365F}" name="RA0 ou RV - TUSD (kW)" dataDxfId="423"/>
    <tableColumn id="29" xr3:uid="{5005A775-D4FB-4847-AD83-A7B19E4B3EEF}" name="RA0 ou RV - TUSD (MWh)" dataDxfId="422"/>
    <tableColumn id="30" xr3:uid="{34864F42-6559-487C-8035-3B594E78BA77}" name="RA0 ou RV - TE (MWh)" dataDxfId="421"/>
    <tableColumn id="31" xr3:uid="{7D70D4A8-CD98-4F48-AD3C-B5F08868829F}" name="RA1 ou RRD - TUSD (kW)" dataDxfId="420"/>
    <tableColumn id="32" xr3:uid="{CDF0D9F9-3FA9-48C4-AD7D-69EC009B844C}" name="RA1 ou RRD - TUSD (MWh)" dataDxfId="419"/>
    <tableColumn id="33" xr3:uid="{9A154D28-69FD-44B3-BF6C-54CF2A8859A7}" name="RA1 ou RRD - TE (MWh)" dataDxfId="4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1DE893-293F-4E32-8B69-F9FE04A8B7A0}" name="Subsidio" displayName="Subsidio" ref="A1:AF79" totalsRowShown="0" headerRowDxfId="417" dataDxfId="416">
  <autoFilter ref="A1:AF79" xr:uid="{121DE893-293F-4E32-8B69-F9FE04A8B7A0}"/>
  <tableColumns count="32">
    <tableColumn id="1" xr3:uid="{00E59258-5746-4E88-BDC8-8B43A4E7DB8E}" name="TipoMercado" dataDxfId="415"/>
    <tableColumn id="2" xr3:uid="{796C0F1A-AD0D-4482-BFF2-4A53F2D7F733}" name="Subgrupo" dataDxfId="414"/>
    <tableColumn id="3" xr3:uid="{5E141A27-BD14-40FD-94A3-89817FD77C3F}" name="Modalidade" dataDxfId="413"/>
    <tableColumn id="4" xr3:uid="{68C25C45-CD0B-4D91-B1BD-09E3BED0AFB8}" name="Classe" dataDxfId="412"/>
    <tableColumn id="5" xr3:uid="{BB13F919-CDD7-47E2-A77E-5F4E1DE87A1C}" name="Subclasse" dataDxfId="411"/>
    <tableColumn id="6" xr3:uid="{821F14D7-DB71-4453-9BA5-027A2DDB008A}" name="Detalhe" dataDxfId="410"/>
    <tableColumn id="7" xr3:uid="{74BB098C-53FB-487E-B133-845801D52D52}" name="Agente" dataDxfId="409"/>
    <tableColumn id="8" xr3:uid="{4C0D8848-1891-421F-B3D9-12088AED5908}" name="Posto" dataDxfId="408"/>
    <tableColumn id="9" xr3:uid="{11247287-A42C-4ADF-B179-D3C1B4C4B201}" name="AnoMes" dataDxfId="407"/>
    <tableColumn id="10" xr3:uid="{B5383F22-C198-4D58-9DB6-62B2A87CCCEE}" name="D" dataDxfId="406"/>
    <tableColumn id="11" xr3:uid="{DEE9F407-9075-47F0-822D-F53F49B5EC67}" name="Daj" dataDxfId="405"/>
    <tableColumn id="12" xr3:uid="{EBA8574B-D517-41A1-A7C0-6F6053C988CC}" name="TUSD_E" dataDxfId="404"/>
    <tableColumn id="13" xr3:uid="{D60D3C84-CAEC-44B3-8E38-8A1DB899C0FA}" name="TUSD_Eaj" dataDxfId="403"/>
    <tableColumn id="14" xr3:uid="{1DBCEE89-9E82-4C85-A1E3-BD5AE4F0E49B}" name="TE_E" dataDxfId="402"/>
    <tableColumn id="15" xr3:uid="{13E733D8-1E6E-4FA3-90ED-0D7CF9D5F8CB}" name="TE_Eaj" dataDxfId="401"/>
    <tableColumn id="16" xr3:uid="{937E89BF-7529-466B-96F6-147406C47FAB}" name="UC" dataDxfId="400"/>
    <tableColumn id="17" xr3:uid="{ACB318D2-5A83-4796-8C84-C63ED359E416}" name="OPÇÃO" dataDxfId="399"/>
    <tableColumn id="18" xr3:uid="{BAC05C22-1168-4F64-B577-D4DF0E11993A}" name="CóD. AUX." dataDxfId="398"/>
    <tableColumn id="19" xr3:uid="{0BE1CFAE-9826-4A38-8CCC-A025030F24D8}" name="CóD. AUX. TUSD R$/kW" dataDxfId="397"/>
    <tableColumn id="20" xr3:uid="{6E34F545-B644-4A6B-9978-73C766888F4C}" name="CóD. AUX. TUSD R$/MWh" dataDxfId="396"/>
    <tableColumn id="21" xr3:uid="{2A19AA35-CB14-4D38-9982-A7CA13D33F18}" name="CóD. AUX. TE R$/MWh" dataDxfId="395"/>
    <tableColumn id="22" xr3:uid="{AF355452-9DA0-43F4-92EC-C1228D1712A2}" name="TUSD (R$/kW)" dataDxfId="394"/>
    <tableColumn id="23" xr3:uid="{8AB02298-AB41-42CC-B8AE-0D02F6647505}" name="TUSD (R$/MWh)" dataDxfId="393"/>
    <tableColumn id="24" xr3:uid="{0CD6BAA0-A548-469F-B861-74A073D3A8FA}" name="TE (R$/MWh)" dataDxfId="392"/>
    <tableColumn id="25" xr3:uid="{7B9C20F1-F270-4D2B-9A46-5386DF6DEFED}" name="TUSD (R$/kW) NOVA" dataDxfId="391"/>
    <tableColumn id="26" xr3:uid="{77C3B76D-2FB3-4FFA-9976-BBE42266788E}" name="TUSD (R$/MWh) NOVA" dataDxfId="390">
      <calculatedColumnFormula>('TUSD BE'!$AM$48+'TUSD BF'!$AM$48+'TUSD CVA'!$AM$48)*1</calculatedColumnFormula>
    </tableColumn>
    <tableColumn id="27" xr3:uid="{691D1192-C8F8-409C-BDE7-307718882DF9}" name="TE (R$/MWh) NOVA" dataDxfId="389">
      <calculatedColumnFormula>('TE BE'!$AB$38+'TE BF'!$AB$38+'TE CVA'!$AB$38)*1</calculatedColumnFormula>
    </tableColumn>
    <tableColumn id="28" xr3:uid="{F357F5CD-F2D2-4571-8D43-9B1BF76C9F8C}" name="SUBSIDIO kW - TV" dataDxfId="388">
      <calculatedColumnFormula>(J2-K2)*V2</calculatedColumnFormula>
    </tableColumn>
    <tableColumn id="29" xr3:uid="{3608F9CA-D8F9-472A-B075-3C8A0FAABA68}" name="SUBSIDIO MWh - TV" dataDxfId="387">
      <calculatedColumnFormula>(L2-M2)*W2+(N2-O2)*X2</calculatedColumnFormula>
    </tableColumn>
    <tableColumn id="30" xr3:uid="{8A0A3763-5FEA-42D8-8D87-2DAB26D648D1}" name="SUBSIDIO kW - TN" dataDxfId="386">
      <calculatedColumnFormula>(J2-K2)*Y2</calculatedColumnFormula>
    </tableColumn>
    <tableColumn id="31" xr3:uid="{19FDAFFE-BCEB-43DA-B57F-0934058ABB9D}" name="SUBSIDIO MWh - TN" dataDxfId="385">
      <calculatedColumnFormula>(L2-M2)*Z2+(N2-O2)*AA2</calculatedColumnFormula>
    </tableColumn>
    <tableColumn id="32" xr3:uid="{2A8511FC-F9FA-433F-9777-D3CD411F216C}" name="TIPO" dataDxfId="3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B68857-D5C9-481A-89FF-FD4B723C2174}" name="TabelaFin" displayName="TabelaFin" ref="B3:AT49" tableType="queryTable" totalsRowShown="0" headerRowDxfId="149" dataDxfId="147" headerRowBorderDxfId="148" tableBorderDxfId="146" totalsRowBorderDxfId="145">
  <autoFilter ref="B3:AT49" xr:uid="{28B68857-D5C9-481A-89FF-FD4B723C2174}"/>
  <sortState xmlns:xlrd2="http://schemas.microsoft.com/office/spreadsheetml/2017/richdata2" ref="B4:AT49">
    <sortCondition ref="B4:B49"/>
    <sortCondition ref="C4:C49"/>
    <sortCondition ref="D4:D49"/>
    <sortCondition ref="E4:E49"/>
    <sortCondition ref="F4:F49"/>
    <sortCondition descending="1" ref="G4:G49"/>
    <sortCondition descending="1" ref="H4:H49"/>
    <sortCondition ref="I4:I49"/>
  </sortState>
  <tableColumns count="45">
    <tableColumn id="46" xr3:uid="{74F8DCAA-4D40-4969-BBC2-D28074237A83}" uniqueName="46" name="SUBGRUPO" queryTableFieldId="1" dataDxfId="144"/>
    <tableColumn id="47" xr3:uid="{ED355AF0-C620-43F9-BA74-0672994E1026}" uniqueName="47" name="MODALIDADE" queryTableFieldId="2" dataDxfId="143"/>
    <tableColumn id="48" xr3:uid="{461D0F47-5F18-416A-ABD6-6812EB12D922}" uniqueName="48" name="CLASSE" queryTableFieldId="3" dataDxfId="142"/>
    <tableColumn id="49" xr3:uid="{A7A658F2-90FE-458B-9D1C-2107D44B4363}" uniqueName="49" name="SUBCLASSE" queryTableFieldId="4" dataDxfId="141"/>
    <tableColumn id="50" xr3:uid="{4883B538-86D8-4A82-88F8-A54D0E42168B}" uniqueName="50" name="DETALHE" queryTableFieldId="5" dataDxfId="140"/>
    <tableColumn id="51" xr3:uid="{C850DBD6-ABBF-487C-BDC6-140ED277477F}" uniqueName="51" name="POSTO" queryTableFieldId="6" dataDxfId="139"/>
    <tableColumn id="52" xr3:uid="{CC11FD44-2DD9-4727-954C-45A53DD18FB0}" uniqueName="52" name="UNIDADE" queryTableFieldId="7" dataDxfId="138"/>
    <tableColumn id="53" xr3:uid="{B25A5E59-8976-4148-8D56-0616C6056621}" uniqueName="53" name="ACESSANTE" queryTableFieldId="8" dataDxfId="137"/>
    <tableColumn id="54" xr3:uid="{6A749CC6-E7A2-4A0F-8A26-A72C8369EFE7}" uniqueName="54" name="Total TUSD" queryTableFieldId="9" dataDxfId="136"/>
    <tableColumn id="55" xr3:uid="{20D76BC6-2FB3-4922-B0D1-FB54C79CB172}" uniqueName="55" name="Total TE" queryTableFieldId="10" dataDxfId="135"/>
    <tableColumn id="56" xr3:uid="{F7B448B1-CD74-4379-82CE-85E028951AC7}" uniqueName="56" name="TUSD_CDE_COVID" queryTableFieldId="11" dataDxfId="134"/>
    <tableColumn id="57" xr3:uid="{4055419D-A4F5-48A2-BD32-083CFF8F86C5}" uniqueName="57" name="TUSD_TFSEE" queryTableFieldId="12" dataDxfId="133"/>
    <tableColumn id="58" xr3:uid="{42E21397-7FFC-4F21-8CC6-18BD8331CA04}" uniqueName="58" name="TUSD_PeD" queryTableFieldId="13" dataDxfId="132"/>
    <tableColumn id="59" xr3:uid="{C40A87C7-22CF-47BD-802A-D514E34CE580}" uniqueName="59" name="TUSD_ONS" queryTableFieldId="14" dataDxfId="131"/>
    <tableColumn id="60" xr3:uid="{3964E1E7-ACD3-46AD-A68C-5E58B572E9B9}" uniqueName="60" name="TUSD_CCC" queryTableFieldId="15" dataDxfId="130"/>
    <tableColumn id="61" xr3:uid="{9E693CBE-66AE-4A81-99B5-61D4D0F4E0C6}" uniqueName="61" name="TUSD_CDE" queryTableFieldId="16" dataDxfId="129"/>
    <tableColumn id="62" xr3:uid="{7EBF2BD3-1D1C-4B8E-BDBC-79DEBB8BB523}" uniqueName="62" name="TUSD_PROINFA" queryTableFieldId="17" dataDxfId="128"/>
    <tableColumn id="63" xr3:uid="{774ACF14-8712-4283-92C3-E17AE2F3D618}" uniqueName="63" name="Liminar1" queryTableFieldId="18" dataDxfId="127"/>
    <tableColumn id="64" xr3:uid="{E6D1B023-C51A-4D47-83BF-9BCF219986C8}" uniqueName="64" name="TUSD_RB" queryTableFieldId="19" dataDxfId="126"/>
    <tableColumn id="65" xr3:uid="{F7F31DBB-0288-4008-ACFB-AE2EFE4833E7}" uniqueName="65" name="TUSD_FR" queryTableFieldId="20" dataDxfId="125"/>
    <tableColumn id="66" xr3:uid="{826CFE71-C6D3-4BEC-B4A1-97CCC1D47053}" uniqueName="66" name="TUSD_CCT" queryTableFieldId="21" dataDxfId="124"/>
    <tableColumn id="67" xr3:uid="{6A33D71D-E94F-4632-89F1-C6D9EDD0378B}" uniqueName="67" name="TUSD_CCD" queryTableFieldId="22" dataDxfId="123"/>
    <tableColumn id="68" xr3:uid="{8AA42C55-C9E8-4F93-A6A7-D12E888BCA02}" uniqueName="68" name="TUSD_CUSD" queryTableFieldId="23" dataDxfId="122"/>
    <tableColumn id="69" xr3:uid="{1DEC2E92-9729-4774-A6FA-9B3F15DFDFF1}" uniqueName="69" name="TUSDG_T" queryTableFieldId="24" dataDxfId="121"/>
    <tableColumn id="70" xr3:uid="{02AF3710-8DB0-43F1-B32A-A91D5FC66CAD}" uniqueName="70" name="TUSDG_ONS" queryTableFieldId="25" dataDxfId="120"/>
    <tableColumn id="71" xr3:uid="{8B5653E5-027C-4FDC-BAC6-AEA57CA84C5A}" uniqueName="71" name="TUSD_FioB" queryTableFieldId="26" dataDxfId="119"/>
    <tableColumn id="72" xr3:uid="{8EFE9E53-248F-44A1-9DE4-7E464BDF7855}" uniqueName="72" name="TUSD Subsidio" queryTableFieldId="27" dataDxfId="118"/>
    <tableColumn id="73" xr3:uid="{3AE652AC-59B7-4D94-8218-42BB2CABCE07}" uniqueName="73" name="TUSD BENEFICIO_L14299" queryTableFieldId="28" dataDxfId="117"/>
    <tableColumn id="74" xr3:uid="{782C5F37-2C5A-4E34-88B5-47C23F31FD99}" uniqueName="74" name="TUSD Outros" queryTableFieldId="29" dataDxfId="116"/>
    <tableColumn id="75" xr3:uid="{CE0C6246-FDAE-451B-8929-38DFFD819031}" uniqueName="75" name="TUSD_PT" queryTableFieldId="30" dataDxfId="115"/>
    <tableColumn id="76" xr3:uid="{40AD9A09-EF15-4F01-BFD9-053AAB415116}" uniqueName="76" name="TUSD_Per_RB_D" queryTableFieldId="31" dataDxfId="114"/>
    <tableColumn id="77" xr3:uid="{0D077581-AC76-45AE-AF9D-58569465B8BA}" uniqueName="77" name="TUSD_PNT" queryTableFieldId="32" dataDxfId="113"/>
    <tableColumn id="78" xr3:uid="{BEAA8DB5-6C83-432F-895D-C9D1B3742DB4}" uniqueName="78" name="TUSD_RI" queryTableFieldId="33" dataDxfId="112"/>
    <tableColumn id="79" xr3:uid="{6E258297-6E6D-4DD1-B543-025BA1C3D825}" uniqueName="79" name="TE_CDE_COVID" queryTableFieldId="34" dataDxfId="111"/>
    <tableColumn id="80" xr3:uid="{FD133E22-E45C-4E9C-9EA1-A73AC2D6580B}" uniqueName="80" name="TE_CDE_ELET" queryTableFieldId="35" dataDxfId="110"/>
    <tableColumn id="81" xr3:uid="{1F3972D1-E3B5-42BD-AC4F-E4F652D21E7E}" uniqueName="81" name="TE_PeD" queryTableFieldId="36" dataDxfId="109"/>
    <tableColumn id="82" xr3:uid="{E1C602AF-FA96-47C0-990B-3ED4CA896F04}" uniqueName="82" name="TE_ESSERR" queryTableFieldId="37" dataDxfId="108"/>
    <tableColumn id="83" xr3:uid="{1C3F876C-CA34-412A-9842-502DFD4D090A}" uniqueName="83" name="TE_CFURH" queryTableFieldId="38" dataDxfId="107"/>
    <tableColumn id="84" xr3:uid="{7D63E864-91C6-4BCE-8E51-F646C5AE895B}" uniqueName="84" name="TE_ENERGIA" queryTableFieldId="39" dataDxfId="106"/>
    <tableColumn id="85" xr3:uid="{54AC52B2-55D8-4558-8361-DD153259675B}" uniqueName="85" name="TE_TRANSPORTE_ITAIPU" queryTableFieldId="40" dataDxfId="105"/>
    <tableColumn id="86" xr3:uid="{C47DA74C-653B-49E4-8661-772D4D58A215}" uniqueName="86" name="TE_TUST_ITAIPU" queryTableFieldId="41" dataDxfId="104"/>
    <tableColumn id="87" xr3:uid="{6BE5E7AB-DA95-4DE1-9656-BBFDFBC7B94D}" uniqueName="87" name="TE_TUST_CI" queryTableFieldId="42" dataDxfId="103"/>
    <tableColumn id="88" xr3:uid="{17D7C569-1A1F-4131-838C-1A67617BE478}" uniqueName="88" name="TE Subsidio" queryTableFieldId="43" dataDxfId="102"/>
    <tableColumn id="89" xr3:uid="{CAFF8536-B892-4D13-ADBC-979E3C88C7E5}" uniqueName="89" name="TE BENEFICIO_L14299" queryTableFieldId="44" dataDxfId="101"/>
    <tableColumn id="90" xr3:uid="{34A458FA-240A-4CAB-8D2D-815C7B5C54CF}" uniqueName="90" name="TE_Per_RB" queryTableFieldId="45" dataDxfId="1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E88DC3-2401-431F-BAB5-86C5E309E166}" name="TabelaEc" displayName="TabelaEc" ref="B3:AT49" tableType="queryTable" totalsRowShown="0" headerRowDxfId="99" dataDxfId="97" headerRowBorderDxfId="98" tableBorderDxfId="96" totalsRowBorderDxfId="95">
  <autoFilter ref="B3:AT49" xr:uid="{CDE88DC3-2401-431F-BAB5-86C5E309E166}"/>
  <sortState xmlns:xlrd2="http://schemas.microsoft.com/office/spreadsheetml/2017/richdata2" ref="B4:AT49">
    <sortCondition ref="B4:B49"/>
    <sortCondition ref="C4:C49"/>
    <sortCondition ref="D4:D49"/>
    <sortCondition ref="E4:E49"/>
    <sortCondition ref="F4:F49"/>
    <sortCondition descending="1" ref="G4:G49"/>
    <sortCondition descending="1" ref="H4:H49"/>
    <sortCondition ref="I4:I49"/>
  </sortState>
  <tableColumns count="45">
    <tableColumn id="46" xr3:uid="{A3F514A3-4B39-4A0F-BA3C-84C9C371A1DA}" uniqueName="46" name="SUBGRUPO" queryTableFieldId="1" dataDxfId="94"/>
    <tableColumn id="47" xr3:uid="{7FDDF512-7985-43B2-BBFF-F5F0DC2E59BA}" uniqueName="47" name="MODALIDADE" queryTableFieldId="2" dataDxfId="93"/>
    <tableColumn id="48" xr3:uid="{8D1614FE-76A7-422A-B484-BC4E400DF035}" uniqueName="48" name="CLASSE" queryTableFieldId="3" dataDxfId="92"/>
    <tableColumn id="49" xr3:uid="{1432C52A-8959-40FF-8CCB-7C7DADF7AF41}" uniqueName="49" name="SUBCLASSE" queryTableFieldId="4" dataDxfId="91"/>
    <tableColumn id="50" xr3:uid="{39B4BAAE-B416-46FE-9F01-F319636578F1}" uniqueName="50" name="DETALHE" queryTableFieldId="5" dataDxfId="90"/>
    <tableColumn id="51" xr3:uid="{56D71563-989C-4BBA-A449-9884B2A29FEF}" uniqueName="51" name="POSTO" queryTableFieldId="6" dataDxfId="89"/>
    <tableColumn id="52" xr3:uid="{4291D129-22BF-49B5-A69D-4D65033F6C6F}" uniqueName="52" name="UNIDADE" queryTableFieldId="7" dataDxfId="88"/>
    <tableColumn id="53" xr3:uid="{1942B3F4-7BA3-47E3-AC1B-16B107B9C5C3}" uniqueName="53" name="ACESSANTE" queryTableFieldId="8" dataDxfId="87"/>
    <tableColumn id="54" xr3:uid="{7C77BADB-77AF-4A73-80D8-091F545B4128}" uniqueName="54" name="Total TUSD" queryTableFieldId="9" dataDxfId="86"/>
    <tableColumn id="55" xr3:uid="{2C169EAC-A036-486F-ADD7-0CFD663C4331}" uniqueName="55" name="Total TE" queryTableFieldId="10" dataDxfId="85"/>
    <tableColumn id="56" xr3:uid="{EF47E1C4-3DA9-4C38-AC3E-E4DB5B5AAD5A}" uniqueName="56" name="TUSD_CDE_COVID" queryTableFieldId="11" dataDxfId="84"/>
    <tableColumn id="57" xr3:uid="{64E4E079-7D01-45CB-B884-4D85D763C5BD}" uniqueName="57" name="TUSD_TFSEE" queryTableFieldId="12" dataDxfId="83"/>
    <tableColumn id="58" xr3:uid="{D8945FD1-DE77-46E6-88CB-D828346E0394}" uniqueName="58" name="TUSD_PeD" queryTableFieldId="13" dataDxfId="82"/>
    <tableColumn id="59" xr3:uid="{9143CE51-BB3F-42DA-8FBC-3A579CE8731C}" uniqueName="59" name="TUSD_ONS" queryTableFieldId="14" dataDxfId="81"/>
    <tableColumn id="60" xr3:uid="{3E19795B-16F0-48B0-989C-D20E4BAE797E}" uniqueName="60" name="TUSD_CCC" queryTableFieldId="15" dataDxfId="80"/>
    <tableColumn id="61" xr3:uid="{77C9A0A4-5139-439E-9BD3-4688C0C33D5E}" uniqueName="61" name="TUSD_CDE" queryTableFieldId="16" dataDxfId="79"/>
    <tableColumn id="62" xr3:uid="{2DCFE06C-E074-4A36-AAD7-894B601C22DD}" uniqueName="62" name="TUSD_PROINFA" queryTableFieldId="17" dataDxfId="78"/>
    <tableColumn id="63" xr3:uid="{8B7C45FA-AFAE-4A64-96AF-3BA7643BBDC9}" uniqueName="63" name="Liminar1" queryTableFieldId="18" dataDxfId="77"/>
    <tableColumn id="64" xr3:uid="{D77923DE-5CAC-48BC-8E79-F28D0D53F5D1}" uniqueName="64" name="TUSD_RB" queryTableFieldId="19" dataDxfId="76"/>
    <tableColumn id="65" xr3:uid="{9FA80B8D-7A3A-457E-A949-4EF18B45EF88}" uniqueName="65" name="TUSD_FR" queryTableFieldId="20" dataDxfId="75"/>
    <tableColumn id="66" xr3:uid="{0AAA195C-AE36-410C-BCB7-1495EC8756B8}" uniqueName="66" name="TUSD_CCT" queryTableFieldId="21" dataDxfId="74"/>
    <tableColumn id="67" xr3:uid="{362FB7AE-5B8F-4A86-B673-D516DF3E861D}" uniqueName="67" name="TUSD_CCD" queryTableFieldId="22" dataDxfId="73"/>
    <tableColumn id="68" xr3:uid="{40CBF075-D074-458D-BCA1-CD1735B4A6CA}" uniqueName="68" name="TUSD_CUSD" queryTableFieldId="23" dataDxfId="72"/>
    <tableColumn id="69" xr3:uid="{59D75417-CA7E-4F21-BCCB-4F6F9F7C8FD8}" uniqueName="69" name="TUSDG_T" queryTableFieldId="24" dataDxfId="71"/>
    <tableColumn id="70" xr3:uid="{C72E3D6E-1F11-45B9-8817-5A19D76CEC7E}" uniqueName="70" name="TUSDG_ONS" queryTableFieldId="25" dataDxfId="70"/>
    <tableColumn id="71" xr3:uid="{48E34F8F-04E0-4F79-8CC3-2C48E471A82A}" uniqueName="71" name="TUSD_FioB" queryTableFieldId="26" dataDxfId="69"/>
    <tableColumn id="72" xr3:uid="{4B0E4D94-BF84-4D7D-B1D0-6BE5B769C357}" uniqueName="72" name="TUSD Subsidio" queryTableFieldId="27" dataDxfId="68"/>
    <tableColumn id="73" xr3:uid="{026297FB-0533-4949-8F86-688E9F261E79}" uniqueName="73" name="TUSD BENEFICIO_L14299" queryTableFieldId="28" dataDxfId="67"/>
    <tableColumn id="74" xr3:uid="{223BA6C7-7557-44A0-9F0C-1E54BBF37903}" uniqueName="74" name="TUSD Outros" queryTableFieldId="29" dataDxfId="66"/>
    <tableColumn id="75" xr3:uid="{10769455-5291-4651-B66C-0A6A7C873551}" uniqueName="75" name="TUSD_PT" queryTableFieldId="30" dataDxfId="65"/>
    <tableColumn id="76" xr3:uid="{4AC78ACA-3A87-4C66-9632-45E36691281F}" uniqueName="76" name="TUSD_Per_RB_D" queryTableFieldId="31" dataDxfId="64"/>
    <tableColumn id="77" xr3:uid="{23F55DA7-DF50-4081-A8A5-2E5940A15ADD}" uniqueName="77" name="TUSD_PNT" queryTableFieldId="32" dataDxfId="63"/>
    <tableColumn id="78" xr3:uid="{420C5DB3-3197-411E-805B-C6888A440132}" uniqueName="78" name="TUSD_RI" queryTableFieldId="33" dataDxfId="62"/>
    <tableColumn id="79" xr3:uid="{588FFDC0-75DF-42AA-8C67-9267992916B9}" uniqueName="79" name="TE_CDE_COVID" queryTableFieldId="34" dataDxfId="61"/>
    <tableColumn id="80" xr3:uid="{5ACB100D-4799-482E-B413-BCF4AD08BD76}" uniqueName="80" name="TE_CDE_ELET" queryTableFieldId="35" dataDxfId="60"/>
    <tableColumn id="81" xr3:uid="{EC0D0828-94EB-40FE-AEBE-D90BA7E521ED}" uniqueName="81" name="TE_PeD" queryTableFieldId="36" dataDxfId="59"/>
    <tableColumn id="82" xr3:uid="{4EF8F689-07D6-4C07-8045-FE8E8E98AE6C}" uniqueName="82" name="TE_ESSERR" queryTableFieldId="37" dataDxfId="58"/>
    <tableColumn id="83" xr3:uid="{8E36051D-CE71-4560-979F-F48C02E0F1BC}" uniqueName="83" name="TE_CFURH" queryTableFieldId="38" dataDxfId="57"/>
    <tableColumn id="84" xr3:uid="{035ADAC0-EB69-4B3D-87B0-D768D3EB5CA7}" uniqueName="84" name="TE_ENERGIA" queryTableFieldId="39" dataDxfId="56"/>
    <tableColumn id="85" xr3:uid="{E113FB89-16A4-4AAE-8D41-B3BFDF35F2DA}" uniqueName="85" name="TE_TRANSPORTE_ITAIPU" queryTableFieldId="40" dataDxfId="55"/>
    <tableColumn id="86" xr3:uid="{01407055-C34C-498A-912F-9AD528138A83}" uniqueName="86" name="TE_TUST_ITAIPU" queryTableFieldId="41" dataDxfId="54"/>
    <tableColumn id="87" xr3:uid="{E45AFA46-4FF1-41D4-91CB-130C9602B20F}" uniqueName="87" name="TE_TUST_CI" queryTableFieldId="42" dataDxfId="53"/>
    <tableColumn id="88" xr3:uid="{F7AAE3D3-6649-4E61-9B3E-9D4D5D8B3D74}" uniqueName="88" name="TE Subsidio" queryTableFieldId="43" dataDxfId="52"/>
    <tableColumn id="89" xr3:uid="{0CC2A0BA-9179-4DD6-ACD2-BE5C0D6DDDE4}" uniqueName="89" name="TE BENEFICIO_L14299" queryTableFieldId="44" dataDxfId="51"/>
    <tableColumn id="90" xr3:uid="{51BF3D62-EF56-4044-AFC2-A225A2CE486E}" uniqueName="90" name="TE_Per_RB" queryTableFieldId="45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985029-9EA4-4C4B-A186-B3A525C18CA4}" name="TabelaCVA" displayName="TabelaCVA" ref="B3:AT49" tableType="queryTable" totalsRowShown="0" headerRowDxfId="49" dataDxfId="47" headerRowBorderDxfId="48" tableBorderDxfId="46" totalsRowBorderDxfId="45">
  <autoFilter ref="B3:AT49" xr:uid="{32985029-9EA4-4C4B-A186-B3A525C18CA4}"/>
  <sortState xmlns:xlrd2="http://schemas.microsoft.com/office/spreadsheetml/2017/richdata2" ref="B4:AT49">
    <sortCondition ref="B4:B49"/>
    <sortCondition ref="C4:C49"/>
    <sortCondition ref="D4:D49"/>
    <sortCondition ref="E4:E49"/>
    <sortCondition ref="F4:F49"/>
    <sortCondition descending="1" ref="G4:G49"/>
    <sortCondition descending="1" ref="H4:H49"/>
    <sortCondition ref="I4:I49"/>
  </sortState>
  <tableColumns count="45">
    <tableColumn id="46" xr3:uid="{A20E3F04-E6DD-44AD-9D90-8062B2B92657}" uniqueName="46" name="SUBGRUPO" queryTableFieldId="1" dataDxfId="44"/>
    <tableColumn id="47" xr3:uid="{B9440CA1-0CF6-477A-9C88-158427E45FA1}" uniqueName="47" name="MODALIDADE" queryTableFieldId="2" dataDxfId="43"/>
    <tableColumn id="48" xr3:uid="{C942AD69-2C86-48DA-8F51-044CAA801549}" uniqueName="48" name="CLASSE" queryTableFieldId="3" dataDxfId="42"/>
    <tableColumn id="49" xr3:uid="{11DA85FE-D249-4226-ADCE-279DCE33FDB1}" uniqueName="49" name="SUBCLASSE" queryTableFieldId="4" dataDxfId="41"/>
    <tableColumn id="50" xr3:uid="{EAD2BB8D-55B4-4B0F-987B-CC5C3FE0DC55}" uniqueName="50" name="DETALHE" queryTableFieldId="5" dataDxfId="40"/>
    <tableColumn id="51" xr3:uid="{F4B1D4AB-DA56-4BD1-9E3E-162EDA7CF9AB}" uniqueName="51" name="POSTO" queryTableFieldId="6" dataDxfId="39"/>
    <tableColumn id="52" xr3:uid="{7F5218DF-06C9-4041-B562-D9331DBF58F4}" uniqueName="52" name="UNIDADE" queryTableFieldId="7" dataDxfId="38"/>
    <tableColumn id="53" xr3:uid="{DE8A76A1-1373-413E-8700-3CE1B622D82E}" uniqueName="53" name="ACESSANTE" queryTableFieldId="8" dataDxfId="37"/>
    <tableColumn id="54" xr3:uid="{3CA55570-C671-4380-B1C5-6CD4590816F0}" uniqueName="54" name="Total TUSD" queryTableFieldId="9" dataDxfId="36"/>
    <tableColumn id="55" xr3:uid="{B34DA33D-3062-4FBD-A7A6-861C45B352FC}" uniqueName="55" name="Total TE" queryTableFieldId="10" dataDxfId="35"/>
    <tableColumn id="56" xr3:uid="{F8D3758E-6A40-4646-AD3E-1001D9267D10}" uniqueName="56" name="TUSD_CDE_COVID" queryTableFieldId="11" dataDxfId="34"/>
    <tableColumn id="57" xr3:uid="{FF57CE34-EC10-44A6-8745-CFC02404C6D8}" uniqueName="57" name="TUSD_TFSEE" queryTableFieldId="12" dataDxfId="33"/>
    <tableColumn id="58" xr3:uid="{6E35B40A-B83D-40D4-9DC5-E057E5827DAF}" uniqueName="58" name="TUSD_PeD" queryTableFieldId="13" dataDxfId="32"/>
    <tableColumn id="59" xr3:uid="{1C633667-63EA-4296-AF2B-614C6835A4E4}" uniqueName="59" name="TUSD_ONS" queryTableFieldId="14" dataDxfId="31"/>
    <tableColumn id="60" xr3:uid="{2F36DAF3-5A2D-4F6B-9082-BC7ED4BE931F}" uniqueName="60" name="TUSD_CCC" queryTableFieldId="15" dataDxfId="30"/>
    <tableColumn id="61" xr3:uid="{4E648AD6-1E5E-4C12-B15C-3A420476B3E5}" uniqueName="61" name="TUSD_CDE" queryTableFieldId="16" dataDxfId="29"/>
    <tableColumn id="62" xr3:uid="{416DC235-0939-465A-AEBF-755171052DCC}" uniqueName="62" name="TUSD_PROINFA" queryTableFieldId="17" dataDxfId="28"/>
    <tableColumn id="63" xr3:uid="{60ED593D-13F0-4936-8C57-06E648565127}" uniqueName="63" name="Liminar1" queryTableFieldId="18" dataDxfId="27"/>
    <tableColumn id="64" xr3:uid="{42912C93-45A9-4A22-95E7-BF382117075E}" uniqueName="64" name="TUSD_RB" queryTableFieldId="19" dataDxfId="26"/>
    <tableColumn id="65" xr3:uid="{884F3757-0DAC-4B8A-AE2C-677A8FB88308}" uniqueName="65" name="TUSD_FR" queryTableFieldId="20" dataDxfId="25"/>
    <tableColumn id="66" xr3:uid="{3A297356-4BC2-47B7-B9E7-B9AC5E3E249E}" uniqueName="66" name="TUSD_CCT" queryTableFieldId="21" dataDxfId="24"/>
    <tableColumn id="67" xr3:uid="{097FC7C5-7066-461D-A504-D80E3CCB12DC}" uniqueName="67" name="TUSD_CCD" queryTableFieldId="22" dataDxfId="23"/>
    <tableColumn id="68" xr3:uid="{6C68B4D9-3C41-4152-B1C5-F47604121B48}" uniqueName="68" name="TUSD_CUSD" queryTableFieldId="23" dataDxfId="22"/>
    <tableColumn id="69" xr3:uid="{D17C32D5-CB02-486F-8826-546343C3FB8C}" uniqueName="69" name="TUSDG_T" queryTableFieldId="24" dataDxfId="21"/>
    <tableColumn id="70" xr3:uid="{8E28108F-F75D-4965-ADB3-B9AD511E173C}" uniqueName="70" name="TUSDG_ONS" queryTableFieldId="25" dataDxfId="20"/>
    <tableColumn id="71" xr3:uid="{7AD638B1-9D63-427A-AA9F-00F20F1535EC}" uniqueName="71" name="TUSD_FioB" queryTableFieldId="26" dataDxfId="19"/>
    <tableColumn id="72" xr3:uid="{6F66999B-92EA-4747-AFB5-0E7A6456A069}" uniqueName="72" name="TUSD Subsidio" queryTableFieldId="27" dataDxfId="18"/>
    <tableColumn id="73" xr3:uid="{2BAC458B-75EC-499D-95DE-64354B6469C3}" uniqueName="73" name="TUSD BENEFICIO_L14299" queryTableFieldId="28" dataDxfId="17"/>
    <tableColumn id="74" xr3:uid="{08F7494B-BF9A-4591-961A-CD1D30EA944A}" uniqueName="74" name="TUSD Outros" queryTableFieldId="29" dataDxfId="16"/>
    <tableColumn id="75" xr3:uid="{79E22096-3AF1-4621-9E72-EE75E434C01C}" uniqueName="75" name="TUSD_PT" queryTableFieldId="30" dataDxfId="15"/>
    <tableColumn id="76" xr3:uid="{3C8D30B1-B01E-4B18-8F6F-F5396B7CD46F}" uniqueName="76" name="TUSD_Per_RB_D" queryTableFieldId="31" dataDxfId="14"/>
    <tableColumn id="77" xr3:uid="{6856E1BB-5CA4-4E00-B647-805CC8A298BC}" uniqueName="77" name="TUSD_PNT" queryTableFieldId="32" dataDxfId="13"/>
    <tableColumn id="78" xr3:uid="{2DCF8F7D-5632-4B17-839A-435DA68BA564}" uniqueName="78" name="TUSD_RI" queryTableFieldId="33" dataDxfId="12"/>
    <tableColumn id="79" xr3:uid="{196ACB03-DECE-40D3-A286-12D15D08C578}" uniqueName="79" name="TE_CDE_COVID" queryTableFieldId="34" dataDxfId="11"/>
    <tableColumn id="80" xr3:uid="{688D1427-4C58-4B9E-9984-6675F8ECF7D9}" uniqueName="80" name="TE_CDE_ELET" queryTableFieldId="35" dataDxfId="10"/>
    <tableColumn id="81" xr3:uid="{DB1941F4-BB6C-4FB6-BCFF-CAB6C9763D96}" uniqueName="81" name="TE_PeD" queryTableFieldId="36" dataDxfId="9"/>
    <tableColumn id="82" xr3:uid="{61DF4CCB-7B03-4FDB-8DDB-4F6FC4F16BC4}" uniqueName="82" name="TE_ESSERR" queryTableFieldId="37" dataDxfId="8"/>
    <tableColumn id="83" xr3:uid="{8866B5A2-A547-4FFA-8DD1-62522A896779}" uniqueName="83" name="TE_CFURH" queryTableFieldId="38" dataDxfId="7"/>
    <tableColumn id="84" xr3:uid="{BF9F37E4-F2B1-45DE-A3BA-41580D5173D9}" uniqueName="84" name="TE_ENERGIA" queryTableFieldId="39" dataDxfId="6"/>
    <tableColumn id="85" xr3:uid="{EAB5DD94-C012-445C-8EF0-3AD7709EE8A2}" uniqueName="85" name="TE_TRANSPORTE_ITAIPU" queryTableFieldId="40" dataDxfId="5"/>
    <tableColumn id="86" xr3:uid="{05EAC4BF-E384-46E7-8F59-57B2EFEDDCB7}" uniqueName="86" name="TE_TUST_ITAIPU" queryTableFieldId="41" dataDxfId="4"/>
    <tableColumn id="87" xr3:uid="{804DAAA3-F979-46C6-ABB0-61BD555BA700}" uniqueName="87" name="TE_TUST_CI" queryTableFieldId="42" dataDxfId="3"/>
    <tableColumn id="88" xr3:uid="{BC88A278-0587-42D8-892D-A5AB81F4A22E}" uniqueName="88" name="TE Subsidio" queryTableFieldId="43" dataDxfId="2"/>
    <tableColumn id="89" xr3:uid="{30F9BF31-4471-43D3-9416-D7E7BA685311}" uniqueName="89" name="TE BENEFICIO_L14299" queryTableFieldId="44" dataDxfId="1"/>
    <tableColumn id="90" xr3:uid="{F9B91D75-20E9-4360-A7A9-8FABB6BE1C31}" uniqueName="90" name="TE_Per_RB" queryTableFieldId="4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9CF3-0985-48D0-AF7A-7765176C5D88}">
  <sheetPr codeName="Planilha1"/>
  <dimension ref="A1:W174"/>
  <sheetViews>
    <sheetView showGridLines="0" topLeftCell="A153" workbookViewId="0">
      <selection activeCell="T175" sqref="T175"/>
    </sheetView>
  </sheetViews>
  <sheetFormatPr defaultColWidth="9.140625" defaultRowHeight="11.25" customHeight="1" x14ac:dyDescent="0.25"/>
  <cols>
    <col min="1" max="1" width="19.140625" style="4" bestFit="1" customWidth="1"/>
    <col min="2" max="2" width="8.7109375" style="4" bestFit="1" customWidth="1"/>
    <col min="3" max="3" width="10.28515625" style="4" bestFit="1" customWidth="1"/>
    <col min="4" max="4" width="13.5703125" style="4" bestFit="1" customWidth="1"/>
    <col min="5" max="5" width="25.140625" style="4" bestFit="1" customWidth="1"/>
    <col min="6" max="8" width="10.28515625" style="4" bestFit="1" customWidth="1"/>
    <col min="9" max="9" width="8.7109375" style="5" bestFit="1" customWidth="1"/>
    <col min="10" max="11" width="4" style="6" bestFit="1" customWidth="1"/>
    <col min="12" max="12" width="6.7109375" style="6" bestFit="1" customWidth="1"/>
    <col min="13" max="13" width="8" style="6" bestFit="1" customWidth="1"/>
    <col min="14" max="14" width="5.7109375" style="6" bestFit="1" customWidth="1"/>
    <col min="15" max="15" width="5.85546875" style="6" bestFit="1" customWidth="1"/>
    <col min="16" max="16" width="7" style="6" bestFit="1" customWidth="1"/>
    <col min="17" max="17" width="6.5703125" style="4" bestFit="1" customWidth="1"/>
    <col min="18" max="18" width="8.5703125" style="4" bestFit="1" customWidth="1"/>
    <col min="19" max="19" width="78.140625" style="4" bestFit="1" customWidth="1"/>
    <col min="20" max="20" width="83.85546875" style="4" bestFit="1" customWidth="1"/>
    <col min="21" max="21" width="18.42578125" style="4" bestFit="1" customWidth="1"/>
    <col min="22" max="22" width="19.85546875" style="4" bestFit="1" customWidth="1"/>
    <col min="23" max="23" width="17.7109375" style="4" bestFit="1" customWidth="1"/>
    <col min="24" max="16384" width="9.140625" style="4"/>
  </cols>
  <sheetData>
    <row r="1" spans="1:23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82</v>
      </c>
      <c r="T1" s="1" t="s">
        <v>172</v>
      </c>
      <c r="U1" s="1" t="s">
        <v>18</v>
      </c>
      <c r="V1" s="1" t="s">
        <v>19</v>
      </c>
      <c r="W1" s="1" t="s">
        <v>20</v>
      </c>
    </row>
    <row r="2" spans="1:23" ht="11.25" customHeight="1" x14ac:dyDescent="0.25">
      <c r="A2" s="4" t="s">
        <v>21</v>
      </c>
      <c r="B2" s="4" t="s">
        <v>22</v>
      </c>
      <c r="C2" s="4" t="s">
        <v>23</v>
      </c>
      <c r="D2" s="4" t="s">
        <v>24</v>
      </c>
      <c r="E2" s="4" t="s">
        <v>24</v>
      </c>
      <c r="F2" s="4" t="s">
        <v>25</v>
      </c>
      <c r="G2" s="4" t="s">
        <v>25</v>
      </c>
      <c r="H2" s="4" t="s">
        <v>25</v>
      </c>
      <c r="I2" s="5">
        <v>44501</v>
      </c>
      <c r="J2" s="6">
        <v>0</v>
      </c>
      <c r="K2" s="6">
        <v>0</v>
      </c>
      <c r="L2" s="6">
        <v>260.51100000000002</v>
      </c>
      <c r="M2" s="6">
        <v>260.51100000000002</v>
      </c>
      <c r="N2" s="6">
        <v>260.51100000000002</v>
      </c>
      <c r="O2" s="6">
        <v>260.51100000000002</v>
      </c>
      <c r="P2" s="6">
        <v>1839</v>
      </c>
      <c r="Q2" s="4" t="s">
        <v>26</v>
      </c>
      <c r="R2" s="4">
        <v>0</v>
      </c>
      <c r="S2" s="4" t="s">
        <v>83</v>
      </c>
      <c r="T2" s="4" t="s">
        <v>173</v>
      </c>
      <c r="U2" s="4">
        <v>0</v>
      </c>
      <c r="V2" s="4">
        <v>21</v>
      </c>
      <c r="W2" s="4">
        <v>28</v>
      </c>
    </row>
    <row r="3" spans="1:23" ht="11.25" customHeight="1" x14ac:dyDescent="0.25">
      <c r="A3" s="4" t="s">
        <v>27</v>
      </c>
      <c r="B3" s="4" t="s">
        <v>22</v>
      </c>
      <c r="C3" s="4" t="s">
        <v>23</v>
      </c>
      <c r="D3" s="4" t="s">
        <v>24</v>
      </c>
      <c r="E3" s="4" t="s">
        <v>24</v>
      </c>
      <c r="F3" s="4" t="s">
        <v>25</v>
      </c>
      <c r="G3" s="4" t="s">
        <v>25</v>
      </c>
      <c r="H3" s="4" t="s">
        <v>25</v>
      </c>
      <c r="I3" s="5">
        <v>44501</v>
      </c>
      <c r="J3" s="6">
        <v>0</v>
      </c>
      <c r="K3" s="6">
        <v>0</v>
      </c>
      <c r="L3" s="6">
        <v>6.6980000000000004</v>
      </c>
      <c r="M3" s="6">
        <v>6.6980000000000004</v>
      </c>
      <c r="N3" s="6">
        <v>6.6980000000000004</v>
      </c>
      <c r="O3" s="6">
        <v>6.6980000000000004</v>
      </c>
      <c r="P3" s="6">
        <v>25</v>
      </c>
      <c r="Q3" s="4" t="s">
        <v>26</v>
      </c>
      <c r="R3" s="4">
        <v>0</v>
      </c>
      <c r="S3" s="4" t="s">
        <v>83</v>
      </c>
      <c r="T3" s="4" t="s">
        <v>173</v>
      </c>
      <c r="U3" s="4">
        <v>0</v>
      </c>
      <c r="V3" s="4">
        <v>21</v>
      </c>
      <c r="W3" s="4">
        <v>28</v>
      </c>
    </row>
    <row r="4" spans="1:23" ht="11.25" customHeight="1" x14ac:dyDescent="0.25">
      <c r="A4" s="4" t="s">
        <v>21</v>
      </c>
      <c r="B4" s="4" t="s">
        <v>22</v>
      </c>
      <c r="C4" s="4" t="s">
        <v>23</v>
      </c>
      <c r="D4" s="4" t="s">
        <v>24</v>
      </c>
      <c r="E4" s="4" t="s">
        <v>24</v>
      </c>
      <c r="F4" s="4" t="s">
        <v>25</v>
      </c>
      <c r="G4" s="4" t="s">
        <v>25</v>
      </c>
      <c r="H4" s="4" t="s">
        <v>25</v>
      </c>
      <c r="I4" s="5">
        <v>44531</v>
      </c>
      <c r="J4" s="6">
        <v>0</v>
      </c>
      <c r="K4" s="6">
        <v>0</v>
      </c>
      <c r="L4" s="6">
        <v>252.10300000000001</v>
      </c>
      <c r="M4" s="6">
        <v>252.10300000000001</v>
      </c>
      <c r="N4" s="6">
        <v>252.10300000000001</v>
      </c>
      <c r="O4" s="6">
        <v>252.10300000000001</v>
      </c>
      <c r="P4" s="6">
        <v>1851</v>
      </c>
      <c r="Q4" s="4" t="s">
        <v>26</v>
      </c>
      <c r="R4" s="4">
        <v>0</v>
      </c>
      <c r="S4" s="4" t="s">
        <v>84</v>
      </c>
      <c r="T4" s="4" t="s">
        <v>174</v>
      </c>
      <c r="U4" s="4">
        <v>0</v>
      </c>
      <c r="V4" s="4">
        <v>21</v>
      </c>
      <c r="W4" s="4">
        <v>28</v>
      </c>
    </row>
    <row r="5" spans="1:23" ht="11.25" customHeight="1" x14ac:dyDescent="0.25">
      <c r="A5" s="4" t="s">
        <v>27</v>
      </c>
      <c r="B5" s="4" t="s">
        <v>22</v>
      </c>
      <c r="C5" s="4" t="s">
        <v>23</v>
      </c>
      <c r="D5" s="4" t="s">
        <v>24</v>
      </c>
      <c r="E5" s="4" t="s">
        <v>24</v>
      </c>
      <c r="F5" s="4" t="s">
        <v>25</v>
      </c>
      <c r="G5" s="4" t="s">
        <v>25</v>
      </c>
      <c r="H5" s="4" t="s">
        <v>25</v>
      </c>
      <c r="I5" s="5">
        <v>44531</v>
      </c>
      <c r="J5" s="6">
        <v>0</v>
      </c>
      <c r="K5" s="6">
        <v>0</v>
      </c>
      <c r="L5" s="6">
        <v>7.2949999999999999</v>
      </c>
      <c r="M5" s="6">
        <v>7.2949999999999999</v>
      </c>
      <c r="N5" s="6">
        <v>7.2949999999999999</v>
      </c>
      <c r="O5" s="6">
        <v>7.2949999999999999</v>
      </c>
      <c r="P5" s="6">
        <v>25</v>
      </c>
      <c r="Q5" s="4" t="s">
        <v>26</v>
      </c>
      <c r="R5" s="4">
        <v>0</v>
      </c>
      <c r="S5" s="4" t="s">
        <v>84</v>
      </c>
      <c r="T5" s="4" t="s">
        <v>174</v>
      </c>
      <c r="U5" s="4">
        <v>0</v>
      </c>
      <c r="V5" s="4">
        <v>21</v>
      </c>
      <c r="W5" s="4">
        <v>28</v>
      </c>
    </row>
    <row r="6" spans="1:23" ht="11.25" customHeight="1" x14ac:dyDescent="0.25">
      <c r="A6" s="4" t="s">
        <v>21</v>
      </c>
      <c r="B6" s="4" t="s">
        <v>22</v>
      </c>
      <c r="C6" s="4" t="s">
        <v>23</v>
      </c>
      <c r="D6" s="4" t="s">
        <v>24</v>
      </c>
      <c r="E6" s="4" t="s">
        <v>24</v>
      </c>
      <c r="F6" s="4" t="s">
        <v>25</v>
      </c>
      <c r="G6" s="4" t="s">
        <v>25</v>
      </c>
      <c r="H6" s="4" t="s">
        <v>25</v>
      </c>
      <c r="I6" s="5">
        <v>44562</v>
      </c>
      <c r="J6" s="6">
        <v>0</v>
      </c>
      <c r="K6" s="6">
        <v>0</v>
      </c>
      <c r="L6" s="6">
        <v>281.71699999999998</v>
      </c>
      <c r="M6" s="6">
        <v>281.71699999999998</v>
      </c>
      <c r="N6" s="6">
        <v>281.71699999999998</v>
      </c>
      <c r="O6" s="6">
        <v>281.71699999999998</v>
      </c>
      <c r="P6" s="6">
        <v>1869</v>
      </c>
      <c r="Q6" s="4" t="s">
        <v>26</v>
      </c>
      <c r="R6" s="4">
        <v>0</v>
      </c>
      <c r="S6" s="4" t="s">
        <v>85</v>
      </c>
      <c r="T6" s="4" t="s">
        <v>175</v>
      </c>
      <c r="U6" s="4">
        <v>0</v>
      </c>
      <c r="V6" s="4">
        <v>21</v>
      </c>
      <c r="W6" s="4">
        <v>28</v>
      </c>
    </row>
    <row r="7" spans="1:23" ht="11.25" customHeight="1" x14ac:dyDescent="0.25">
      <c r="A7" s="4" t="s">
        <v>27</v>
      </c>
      <c r="B7" s="4" t="s">
        <v>22</v>
      </c>
      <c r="C7" s="4" t="s">
        <v>23</v>
      </c>
      <c r="D7" s="4" t="s">
        <v>24</v>
      </c>
      <c r="E7" s="4" t="s">
        <v>24</v>
      </c>
      <c r="F7" s="4" t="s">
        <v>25</v>
      </c>
      <c r="G7" s="4" t="s">
        <v>25</v>
      </c>
      <c r="H7" s="4" t="s">
        <v>25</v>
      </c>
      <c r="I7" s="5">
        <v>44562</v>
      </c>
      <c r="J7" s="6">
        <v>0</v>
      </c>
      <c r="K7" s="6">
        <v>0</v>
      </c>
      <c r="L7" s="6">
        <v>9.2750000000000004</v>
      </c>
      <c r="M7" s="6">
        <v>9.2750000000000004</v>
      </c>
      <c r="N7" s="6">
        <v>9.2750000000000004</v>
      </c>
      <c r="O7" s="6">
        <v>9.2750000000000004</v>
      </c>
      <c r="P7" s="6">
        <v>25</v>
      </c>
      <c r="Q7" s="4" t="s">
        <v>26</v>
      </c>
      <c r="R7" s="4">
        <v>0</v>
      </c>
      <c r="S7" s="4" t="s">
        <v>85</v>
      </c>
      <c r="T7" s="4" t="s">
        <v>175</v>
      </c>
      <c r="U7" s="4">
        <v>0</v>
      </c>
      <c r="V7" s="4">
        <v>21</v>
      </c>
      <c r="W7" s="4">
        <v>28</v>
      </c>
    </row>
    <row r="8" spans="1:23" ht="11.25" customHeight="1" x14ac:dyDescent="0.25">
      <c r="A8" s="4" t="s">
        <v>21</v>
      </c>
      <c r="B8" s="4" t="s">
        <v>22</v>
      </c>
      <c r="C8" s="4" t="s">
        <v>23</v>
      </c>
      <c r="D8" s="4" t="s">
        <v>24</v>
      </c>
      <c r="E8" s="4" t="s">
        <v>24</v>
      </c>
      <c r="F8" s="4" t="s">
        <v>25</v>
      </c>
      <c r="G8" s="4" t="s">
        <v>25</v>
      </c>
      <c r="H8" s="4" t="s">
        <v>25</v>
      </c>
      <c r="I8" s="5">
        <v>44593</v>
      </c>
      <c r="J8" s="6">
        <v>0</v>
      </c>
      <c r="K8" s="6">
        <v>0</v>
      </c>
      <c r="L8" s="6">
        <v>300.13299999999998</v>
      </c>
      <c r="M8" s="6">
        <v>300.13299999999998</v>
      </c>
      <c r="N8" s="6">
        <v>300.13299999999998</v>
      </c>
      <c r="O8" s="6">
        <v>300.13299999999998</v>
      </c>
      <c r="P8" s="6">
        <v>1868</v>
      </c>
      <c r="Q8" s="4" t="s">
        <v>26</v>
      </c>
      <c r="R8" s="4">
        <v>0</v>
      </c>
      <c r="S8" s="4" t="s">
        <v>86</v>
      </c>
      <c r="T8" s="4" t="s">
        <v>176</v>
      </c>
      <c r="U8" s="4">
        <v>0</v>
      </c>
      <c r="V8" s="4">
        <v>21</v>
      </c>
      <c r="W8" s="4">
        <v>28</v>
      </c>
    </row>
    <row r="9" spans="1:23" ht="11.25" customHeight="1" x14ac:dyDescent="0.25">
      <c r="A9" s="4" t="s">
        <v>27</v>
      </c>
      <c r="B9" s="4" t="s">
        <v>22</v>
      </c>
      <c r="C9" s="4" t="s">
        <v>23</v>
      </c>
      <c r="D9" s="4" t="s">
        <v>24</v>
      </c>
      <c r="E9" s="4" t="s">
        <v>24</v>
      </c>
      <c r="F9" s="4" t="s">
        <v>25</v>
      </c>
      <c r="G9" s="4" t="s">
        <v>25</v>
      </c>
      <c r="H9" s="4" t="s">
        <v>25</v>
      </c>
      <c r="I9" s="5">
        <v>44593</v>
      </c>
      <c r="J9" s="6">
        <v>0</v>
      </c>
      <c r="K9" s="6">
        <v>0</v>
      </c>
      <c r="L9" s="6">
        <v>9.7720000000000002</v>
      </c>
      <c r="M9" s="6">
        <v>9.7720000000000002</v>
      </c>
      <c r="N9" s="6">
        <v>9.7720000000000002</v>
      </c>
      <c r="O9" s="6">
        <v>9.7720000000000002</v>
      </c>
      <c r="P9" s="6">
        <v>28</v>
      </c>
      <c r="Q9" s="4" t="s">
        <v>26</v>
      </c>
      <c r="R9" s="4">
        <v>0</v>
      </c>
      <c r="S9" s="4" t="s">
        <v>86</v>
      </c>
      <c r="T9" s="4" t="s">
        <v>176</v>
      </c>
      <c r="U9" s="4">
        <v>0</v>
      </c>
      <c r="V9" s="4">
        <v>21</v>
      </c>
      <c r="W9" s="4">
        <v>28</v>
      </c>
    </row>
    <row r="10" spans="1:23" ht="11.25" customHeight="1" x14ac:dyDescent="0.25">
      <c r="A10" s="4" t="s">
        <v>21</v>
      </c>
      <c r="B10" s="4" t="s">
        <v>22</v>
      </c>
      <c r="C10" s="4" t="s">
        <v>23</v>
      </c>
      <c r="D10" s="4" t="s">
        <v>24</v>
      </c>
      <c r="E10" s="4" t="s">
        <v>24</v>
      </c>
      <c r="F10" s="4" t="s">
        <v>25</v>
      </c>
      <c r="G10" s="4" t="s">
        <v>25</v>
      </c>
      <c r="H10" s="4" t="s">
        <v>25</v>
      </c>
      <c r="I10" s="5">
        <v>44621</v>
      </c>
      <c r="J10" s="6">
        <v>0</v>
      </c>
      <c r="K10" s="6">
        <v>0</v>
      </c>
      <c r="L10" s="6">
        <v>288.79300000000001</v>
      </c>
      <c r="M10" s="6">
        <v>288.79300000000001</v>
      </c>
      <c r="N10" s="6">
        <v>288.79300000000001</v>
      </c>
      <c r="O10" s="6">
        <v>288.79300000000001</v>
      </c>
      <c r="P10" s="6">
        <v>1866</v>
      </c>
      <c r="Q10" s="4" t="s">
        <v>26</v>
      </c>
      <c r="R10" s="4">
        <v>0</v>
      </c>
      <c r="S10" s="4" t="s">
        <v>87</v>
      </c>
      <c r="T10" s="4" t="s">
        <v>177</v>
      </c>
      <c r="U10" s="4">
        <v>0</v>
      </c>
      <c r="V10" s="4">
        <v>21</v>
      </c>
      <c r="W10" s="4">
        <v>28</v>
      </c>
    </row>
    <row r="11" spans="1:23" ht="11.25" customHeight="1" x14ac:dyDescent="0.25">
      <c r="A11" s="4" t="s">
        <v>27</v>
      </c>
      <c r="B11" s="4" t="s">
        <v>22</v>
      </c>
      <c r="C11" s="4" t="s">
        <v>23</v>
      </c>
      <c r="D11" s="4" t="s">
        <v>24</v>
      </c>
      <c r="E11" s="4" t="s">
        <v>24</v>
      </c>
      <c r="F11" s="4" t="s">
        <v>25</v>
      </c>
      <c r="G11" s="4" t="s">
        <v>25</v>
      </c>
      <c r="H11" s="4" t="s">
        <v>25</v>
      </c>
      <c r="I11" s="5">
        <v>44621</v>
      </c>
      <c r="J11" s="6">
        <v>0</v>
      </c>
      <c r="K11" s="6">
        <v>0</v>
      </c>
      <c r="L11" s="6">
        <v>9.8160000000000007</v>
      </c>
      <c r="M11" s="6">
        <v>9.8160000000000007</v>
      </c>
      <c r="N11" s="6">
        <v>9.8160000000000007</v>
      </c>
      <c r="O11" s="6">
        <v>9.8160000000000007</v>
      </c>
      <c r="P11" s="6">
        <v>28</v>
      </c>
      <c r="Q11" s="4" t="s">
        <v>26</v>
      </c>
      <c r="R11" s="4">
        <v>0</v>
      </c>
      <c r="S11" s="4" t="s">
        <v>87</v>
      </c>
      <c r="T11" s="4" t="s">
        <v>177</v>
      </c>
      <c r="U11" s="4">
        <v>0</v>
      </c>
      <c r="V11" s="4">
        <v>21</v>
      </c>
      <c r="W11" s="4">
        <v>28</v>
      </c>
    </row>
    <row r="12" spans="1:23" ht="11.25" customHeight="1" x14ac:dyDescent="0.25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24</v>
      </c>
      <c r="F12" s="4" t="s">
        <v>25</v>
      </c>
      <c r="G12" s="4" t="s">
        <v>25</v>
      </c>
      <c r="H12" s="4" t="s">
        <v>25</v>
      </c>
      <c r="I12" s="5">
        <v>44652</v>
      </c>
      <c r="J12" s="6">
        <v>0</v>
      </c>
      <c r="K12" s="6">
        <v>0</v>
      </c>
      <c r="L12" s="6">
        <v>271.27999999999997</v>
      </c>
      <c r="M12" s="6">
        <v>271.27999999999997</v>
      </c>
      <c r="N12" s="6">
        <v>271.27999999999997</v>
      </c>
      <c r="O12" s="6">
        <v>271.27999999999997</v>
      </c>
      <c r="P12" s="6">
        <v>1864</v>
      </c>
      <c r="Q12" s="4" t="s">
        <v>26</v>
      </c>
      <c r="R12" s="4">
        <v>0</v>
      </c>
      <c r="S12" s="4" t="s">
        <v>88</v>
      </c>
      <c r="T12" s="4" t="s">
        <v>178</v>
      </c>
      <c r="U12" s="4">
        <v>0</v>
      </c>
      <c r="V12" s="4">
        <v>21</v>
      </c>
      <c r="W12" s="4">
        <v>28</v>
      </c>
    </row>
    <row r="13" spans="1:23" ht="11.25" customHeight="1" x14ac:dyDescent="0.25">
      <c r="A13" s="4" t="s">
        <v>27</v>
      </c>
      <c r="B13" s="4" t="s">
        <v>22</v>
      </c>
      <c r="C13" s="4" t="s">
        <v>23</v>
      </c>
      <c r="D13" s="4" t="s">
        <v>24</v>
      </c>
      <c r="E13" s="4" t="s">
        <v>24</v>
      </c>
      <c r="F13" s="4" t="s">
        <v>25</v>
      </c>
      <c r="G13" s="4" t="s">
        <v>25</v>
      </c>
      <c r="H13" s="4" t="s">
        <v>25</v>
      </c>
      <c r="I13" s="5">
        <v>44652</v>
      </c>
      <c r="J13" s="6">
        <v>0</v>
      </c>
      <c r="K13" s="6">
        <v>0</v>
      </c>
      <c r="L13" s="6">
        <v>7.37</v>
      </c>
      <c r="M13" s="6">
        <v>7.37</v>
      </c>
      <c r="N13" s="6">
        <v>7.37</v>
      </c>
      <c r="O13" s="6">
        <v>7.37</v>
      </c>
      <c r="P13" s="6">
        <v>30</v>
      </c>
      <c r="Q13" s="4" t="s">
        <v>26</v>
      </c>
      <c r="R13" s="4">
        <v>0</v>
      </c>
      <c r="S13" s="4" t="s">
        <v>88</v>
      </c>
      <c r="T13" s="4" t="s">
        <v>178</v>
      </c>
      <c r="U13" s="4">
        <v>0</v>
      </c>
      <c r="V13" s="4">
        <v>21</v>
      </c>
      <c r="W13" s="4">
        <v>28</v>
      </c>
    </row>
    <row r="14" spans="1:23" ht="11.25" customHeight="1" x14ac:dyDescent="0.25">
      <c r="A14" s="4" t="s">
        <v>21</v>
      </c>
      <c r="B14" s="4" t="s">
        <v>22</v>
      </c>
      <c r="C14" s="4" t="s">
        <v>23</v>
      </c>
      <c r="D14" s="4" t="s">
        <v>24</v>
      </c>
      <c r="E14" s="4" t="s">
        <v>24</v>
      </c>
      <c r="F14" s="4" t="s">
        <v>25</v>
      </c>
      <c r="G14" s="4" t="s">
        <v>25</v>
      </c>
      <c r="H14" s="4" t="s">
        <v>25</v>
      </c>
      <c r="I14" s="5">
        <v>44682</v>
      </c>
      <c r="J14" s="6">
        <v>0</v>
      </c>
      <c r="K14" s="6">
        <v>0</v>
      </c>
      <c r="L14" s="6">
        <v>263.76100000000002</v>
      </c>
      <c r="M14" s="6">
        <v>263.76100000000002</v>
      </c>
      <c r="N14" s="6">
        <v>263.76100000000002</v>
      </c>
      <c r="O14" s="6">
        <v>263.76100000000002</v>
      </c>
      <c r="P14" s="6">
        <v>1864</v>
      </c>
      <c r="Q14" s="4" t="s">
        <v>26</v>
      </c>
      <c r="R14" s="4">
        <v>0</v>
      </c>
      <c r="S14" s="4" t="s">
        <v>89</v>
      </c>
      <c r="T14" s="4" t="s">
        <v>179</v>
      </c>
      <c r="U14" s="4">
        <v>0</v>
      </c>
      <c r="V14" s="4">
        <v>21</v>
      </c>
      <c r="W14" s="4">
        <v>28</v>
      </c>
    </row>
    <row r="15" spans="1:23" ht="11.25" customHeight="1" x14ac:dyDescent="0.25">
      <c r="A15" s="4" t="s">
        <v>27</v>
      </c>
      <c r="B15" s="4" t="s">
        <v>22</v>
      </c>
      <c r="C15" s="4" t="s">
        <v>23</v>
      </c>
      <c r="D15" s="4" t="s">
        <v>24</v>
      </c>
      <c r="E15" s="4" t="s">
        <v>24</v>
      </c>
      <c r="F15" s="4" t="s">
        <v>25</v>
      </c>
      <c r="G15" s="4" t="s">
        <v>25</v>
      </c>
      <c r="H15" s="4" t="s">
        <v>25</v>
      </c>
      <c r="I15" s="5">
        <v>44682</v>
      </c>
      <c r="J15" s="6">
        <v>0</v>
      </c>
      <c r="K15" s="6">
        <v>0</v>
      </c>
      <c r="L15" s="6">
        <v>9.7769999999999992</v>
      </c>
      <c r="M15" s="6">
        <v>9.7769999999999992</v>
      </c>
      <c r="N15" s="6">
        <v>9.7769999999999992</v>
      </c>
      <c r="O15" s="6">
        <v>9.7769999999999992</v>
      </c>
      <c r="P15" s="6">
        <v>33</v>
      </c>
      <c r="Q15" s="4" t="s">
        <v>26</v>
      </c>
      <c r="R15" s="4">
        <v>0</v>
      </c>
      <c r="S15" s="4" t="s">
        <v>89</v>
      </c>
      <c r="T15" s="4" t="s">
        <v>179</v>
      </c>
      <c r="U15" s="4">
        <v>0</v>
      </c>
      <c r="V15" s="4">
        <v>21</v>
      </c>
      <c r="W15" s="4">
        <v>28</v>
      </c>
    </row>
    <row r="16" spans="1:23" ht="11.25" customHeight="1" x14ac:dyDescent="0.25">
      <c r="A16" s="4" t="s">
        <v>21</v>
      </c>
      <c r="B16" s="4" t="s">
        <v>22</v>
      </c>
      <c r="C16" s="4" t="s">
        <v>23</v>
      </c>
      <c r="D16" s="4" t="s">
        <v>24</v>
      </c>
      <c r="E16" s="4" t="s">
        <v>24</v>
      </c>
      <c r="F16" s="4" t="s">
        <v>25</v>
      </c>
      <c r="G16" s="4" t="s">
        <v>25</v>
      </c>
      <c r="H16" s="4" t="s">
        <v>25</v>
      </c>
      <c r="I16" s="5">
        <v>44713</v>
      </c>
      <c r="J16" s="6">
        <v>0</v>
      </c>
      <c r="K16" s="6">
        <v>0</v>
      </c>
      <c r="L16" s="6">
        <v>286.87900000000002</v>
      </c>
      <c r="M16" s="6">
        <v>286.87900000000002</v>
      </c>
      <c r="N16" s="6">
        <v>286.87900000000002</v>
      </c>
      <c r="O16" s="6">
        <v>286.87900000000002</v>
      </c>
      <c r="P16" s="6">
        <v>1871</v>
      </c>
      <c r="Q16" s="4" t="s">
        <v>26</v>
      </c>
      <c r="R16" s="4">
        <v>0</v>
      </c>
      <c r="S16" s="4" t="s">
        <v>90</v>
      </c>
      <c r="T16" s="4" t="s">
        <v>180</v>
      </c>
      <c r="U16" s="4">
        <v>0</v>
      </c>
      <c r="V16" s="4">
        <v>21</v>
      </c>
      <c r="W16" s="4">
        <v>28</v>
      </c>
    </row>
    <row r="17" spans="1:23" ht="11.25" customHeight="1" x14ac:dyDescent="0.25">
      <c r="A17" s="4" t="s">
        <v>27</v>
      </c>
      <c r="B17" s="4" t="s">
        <v>22</v>
      </c>
      <c r="C17" s="4" t="s">
        <v>23</v>
      </c>
      <c r="D17" s="4" t="s">
        <v>24</v>
      </c>
      <c r="E17" s="4" t="s">
        <v>24</v>
      </c>
      <c r="F17" s="4" t="s">
        <v>25</v>
      </c>
      <c r="G17" s="4" t="s">
        <v>25</v>
      </c>
      <c r="H17" s="4" t="s">
        <v>25</v>
      </c>
      <c r="I17" s="5">
        <v>44713</v>
      </c>
      <c r="J17" s="6">
        <v>0</v>
      </c>
      <c r="K17" s="6">
        <v>0</v>
      </c>
      <c r="L17" s="6">
        <v>8.5860000000000003</v>
      </c>
      <c r="M17" s="6">
        <v>8.5860000000000003</v>
      </c>
      <c r="N17" s="6">
        <v>8.5860000000000003</v>
      </c>
      <c r="O17" s="6">
        <v>8.5860000000000003</v>
      </c>
      <c r="P17" s="6">
        <v>34</v>
      </c>
      <c r="Q17" s="4" t="s">
        <v>26</v>
      </c>
      <c r="R17" s="4">
        <v>0</v>
      </c>
      <c r="S17" s="4" t="s">
        <v>90</v>
      </c>
      <c r="T17" s="4" t="s">
        <v>180</v>
      </c>
      <c r="U17" s="4">
        <v>0</v>
      </c>
      <c r="V17" s="4">
        <v>21</v>
      </c>
      <c r="W17" s="4">
        <v>28</v>
      </c>
    </row>
    <row r="18" spans="1:23" ht="11.25" customHeight="1" x14ac:dyDescent="0.25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24</v>
      </c>
      <c r="F18" s="4" t="s">
        <v>25</v>
      </c>
      <c r="G18" s="4" t="s">
        <v>25</v>
      </c>
      <c r="H18" s="4" t="s">
        <v>25</v>
      </c>
      <c r="I18" s="5">
        <v>44743</v>
      </c>
      <c r="J18" s="6">
        <v>0</v>
      </c>
      <c r="K18" s="6">
        <v>0</v>
      </c>
      <c r="L18" s="6">
        <v>285.80099999999999</v>
      </c>
      <c r="M18" s="6">
        <v>285.80099999999999</v>
      </c>
      <c r="N18" s="6">
        <v>285.80099999999999</v>
      </c>
      <c r="O18" s="6">
        <v>285.80099999999999</v>
      </c>
      <c r="P18" s="6">
        <v>1881</v>
      </c>
      <c r="Q18" s="4" t="s">
        <v>26</v>
      </c>
      <c r="R18" s="4">
        <v>0</v>
      </c>
      <c r="S18" s="4" t="s">
        <v>91</v>
      </c>
      <c r="T18" s="4" t="s">
        <v>181</v>
      </c>
      <c r="U18" s="4">
        <v>0</v>
      </c>
      <c r="V18" s="4">
        <v>21</v>
      </c>
      <c r="W18" s="4">
        <v>28</v>
      </c>
    </row>
    <row r="19" spans="1:23" ht="11.25" customHeight="1" x14ac:dyDescent="0.25">
      <c r="A19" s="4" t="s">
        <v>27</v>
      </c>
      <c r="B19" s="4" t="s">
        <v>22</v>
      </c>
      <c r="C19" s="4" t="s">
        <v>23</v>
      </c>
      <c r="D19" s="4" t="s">
        <v>24</v>
      </c>
      <c r="E19" s="4" t="s">
        <v>24</v>
      </c>
      <c r="F19" s="4" t="s">
        <v>25</v>
      </c>
      <c r="G19" s="4" t="s">
        <v>25</v>
      </c>
      <c r="H19" s="4" t="s">
        <v>25</v>
      </c>
      <c r="I19" s="5">
        <v>44743</v>
      </c>
      <c r="J19" s="6">
        <v>0</v>
      </c>
      <c r="K19" s="6">
        <v>0</v>
      </c>
      <c r="L19" s="6">
        <v>7.8710000000000004</v>
      </c>
      <c r="M19" s="6">
        <v>7.8710000000000004</v>
      </c>
      <c r="N19" s="6">
        <v>7.8710000000000004</v>
      </c>
      <c r="O19" s="6">
        <v>7.8710000000000004</v>
      </c>
      <c r="P19" s="6">
        <v>36</v>
      </c>
      <c r="Q19" s="4" t="s">
        <v>26</v>
      </c>
      <c r="R19" s="4">
        <v>0</v>
      </c>
      <c r="S19" s="4" t="s">
        <v>91</v>
      </c>
      <c r="T19" s="4" t="s">
        <v>181</v>
      </c>
      <c r="U19" s="4">
        <v>0</v>
      </c>
      <c r="V19" s="4">
        <v>21</v>
      </c>
      <c r="W19" s="4">
        <v>28</v>
      </c>
    </row>
    <row r="20" spans="1:23" ht="11.25" customHeight="1" x14ac:dyDescent="0.25">
      <c r="A20" s="4" t="s">
        <v>21</v>
      </c>
      <c r="B20" s="4" t="s">
        <v>22</v>
      </c>
      <c r="C20" s="4" t="s">
        <v>23</v>
      </c>
      <c r="D20" s="4" t="s">
        <v>24</v>
      </c>
      <c r="E20" s="4" t="s">
        <v>24</v>
      </c>
      <c r="F20" s="4" t="s">
        <v>25</v>
      </c>
      <c r="G20" s="4" t="s">
        <v>25</v>
      </c>
      <c r="H20" s="4" t="s">
        <v>25</v>
      </c>
      <c r="I20" s="5">
        <v>44774</v>
      </c>
      <c r="J20" s="6">
        <v>0</v>
      </c>
      <c r="K20" s="6">
        <v>0</v>
      </c>
      <c r="L20" s="6">
        <v>280.48599999999999</v>
      </c>
      <c r="M20" s="6">
        <v>280.48599999999999</v>
      </c>
      <c r="N20" s="6">
        <v>280.48599999999999</v>
      </c>
      <c r="O20" s="6">
        <v>280.48599999999999</v>
      </c>
      <c r="P20" s="6">
        <v>1892</v>
      </c>
      <c r="Q20" s="4" t="s">
        <v>26</v>
      </c>
      <c r="R20" s="4">
        <v>0</v>
      </c>
      <c r="S20" s="4" t="s">
        <v>92</v>
      </c>
      <c r="T20" s="4" t="s">
        <v>182</v>
      </c>
      <c r="U20" s="4">
        <v>0</v>
      </c>
      <c r="V20" s="4">
        <v>21</v>
      </c>
      <c r="W20" s="4">
        <v>28</v>
      </c>
    </row>
    <row r="21" spans="1:23" ht="11.25" customHeight="1" x14ac:dyDescent="0.25">
      <c r="A21" s="4" t="s">
        <v>27</v>
      </c>
      <c r="B21" s="4" t="s">
        <v>22</v>
      </c>
      <c r="C21" s="4" t="s">
        <v>23</v>
      </c>
      <c r="D21" s="4" t="s">
        <v>24</v>
      </c>
      <c r="E21" s="4" t="s">
        <v>24</v>
      </c>
      <c r="F21" s="4" t="s">
        <v>25</v>
      </c>
      <c r="G21" s="4" t="s">
        <v>25</v>
      </c>
      <c r="H21" s="4" t="s">
        <v>25</v>
      </c>
      <c r="I21" s="5">
        <v>44774</v>
      </c>
      <c r="J21" s="6">
        <v>0</v>
      </c>
      <c r="K21" s="6">
        <v>0</v>
      </c>
      <c r="L21" s="6">
        <v>8.5500000000000007</v>
      </c>
      <c r="M21" s="6">
        <v>8.5500000000000007</v>
      </c>
      <c r="N21" s="6">
        <v>8.5500000000000007</v>
      </c>
      <c r="O21" s="6">
        <v>8.5500000000000007</v>
      </c>
      <c r="P21" s="6">
        <v>39</v>
      </c>
      <c r="Q21" s="4" t="s">
        <v>26</v>
      </c>
      <c r="R21" s="4">
        <v>0</v>
      </c>
      <c r="S21" s="4" t="s">
        <v>92</v>
      </c>
      <c r="T21" s="4" t="s">
        <v>182</v>
      </c>
      <c r="U21" s="4">
        <v>0</v>
      </c>
      <c r="V21" s="4">
        <v>21</v>
      </c>
      <c r="W21" s="4">
        <v>28</v>
      </c>
    </row>
    <row r="22" spans="1:23" ht="11.25" customHeight="1" x14ac:dyDescent="0.25">
      <c r="A22" s="4" t="s">
        <v>21</v>
      </c>
      <c r="B22" s="4" t="s">
        <v>22</v>
      </c>
      <c r="C22" s="4" t="s">
        <v>23</v>
      </c>
      <c r="D22" s="4" t="s">
        <v>24</v>
      </c>
      <c r="E22" s="4" t="s">
        <v>24</v>
      </c>
      <c r="F22" s="4" t="s">
        <v>25</v>
      </c>
      <c r="G22" s="4" t="s">
        <v>25</v>
      </c>
      <c r="H22" s="4" t="s">
        <v>25</v>
      </c>
      <c r="I22" s="5">
        <v>44805</v>
      </c>
      <c r="J22" s="6">
        <v>0</v>
      </c>
      <c r="K22" s="6">
        <v>0</v>
      </c>
      <c r="L22" s="6">
        <v>294.01400000000001</v>
      </c>
      <c r="M22" s="6">
        <v>294.01400000000001</v>
      </c>
      <c r="N22" s="6">
        <v>294.01400000000001</v>
      </c>
      <c r="O22" s="6">
        <v>294.01400000000001</v>
      </c>
      <c r="P22" s="6">
        <v>1897</v>
      </c>
      <c r="Q22" s="4" t="s">
        <v>26</v>
      </c>
      <c r="R22" s="4">
        <v>0</v>
      </c>
      <c r="S22" s="4" t="s">
        <v>93</v>
      </c>
      <c r="T22" s="4" t="s">
        <v>183</v>
      </c>
      <c r="U22" s="4">
        <v>0</v>
      </c>
      <c r="V22" s="4">
        <v>21</v>
      </c>
      <c r="W22" s="4">
        <v>28</v>
      </c>
    </row>
    <row r="23" spans="1:23" ht="11.25" customHeight="1" x14ac:dyDescent="0.25">
      <c r="A23" s="4" t="s">
        <v>27</v>
      </c>
      <c r="B23" s="4" t="s">
        <v>22</v>
      </c>
      <c r="C23" s="4" t="s">
        <v>23</v>
      </c>
      <c r="D23" s="4" t="s">
        <v>24</v>
      </c>
      <c r="E23" s="4" t="s">
        <v>24</v>
      </c>
      <c r="F23" s="4" t="s">
        <v>25</v>
      </c>
      <c r="G23" s="4" t="s">
        <v>25</v>
      </c>
      <c r="H23" s="4" t="s">
        <v>25</v>
      </c>
      <c r="I23" s="5">
        <v>44805</v>
      </c>
      <c r="J23" s="6">
        <v>0</v>
      </c>
      <c r="K23" s="6">
        <v>0</v>
      </c>
      <c r="L23" s="6">
        <v>10.83</v>
      </c>
      <c r="M23" s="6">
        <v>10.83</v>
      </c>
      <c r="N23" s="6">
        <v>10.83</v>
      </c>
      <c r="O23" s="6">
        <v>10.83</v>
      </c>
      <c r="P23" s="6">
        <v>40</v>
      </c>
      <c r="Q23" s="4" t="s">
        <v>26</v>
      </c>
      <c r="R23" s="4">
        <v>0</v>
      </c>
      <c r="S23" s="4" t="s">
        <v>93</v>
      </c>
      <c r="T23" s="4" t="s">
        <v>183</v>
      </c>
      <c r="U23" s="4">
        <v>0</v>
      </c>
      <c r="V23" s="4">
        <v>21</v>
      </c>
      <c r="W23" s="4">
        <v>28</v>
      </c>
    </row>
    <row r="24" spans="1:23" ht="11.25" customHeight="1" x14ac:dyDescent="0.25">
      <c r="A24" s="4" t="s">
        <v>21</v>
      </c>
      <c r="B24" s="4" t="s">
        <v>22</v>
      </c>
      <c r="C24" s="4" t="s">
        <v>23</v>
      </c>
      <c r="D24" s="4" t="s">
        <v>24</v>
      </c>
      <c r="E24" s="4" t="s">
        <v>24</v>
      </c>
      <c r="F24" s="4" t="s">
        <v>25</v>
      </c>
      <c r="G24" s="4" t="s">
        <v>25</v>
      </c>
      <c r="H24" s="4" t="s">
        <v>25</v>
      </c>
      <c r="I24" s="5">
        <v>44835</v>
      </c>
      <c r="J24" s="6">
        <v>0</v>
      </c>
      <c r="K24" s="6">
        <v>0</v>
      </c>
      <c r="L24" s="6">
        <v>282.69299999999998</v>
      </c>
      <c r="M24" s="6">
        <v>282.69299999999998</v>
      </c>
      <c r="N24" s="6">
        <v>282.69299999999998</v>
      </c>
      <c r="O24" s="6">
        <v>282.69299999999998</v>
      </c>
      <c r="P24" s="6">
        <v>1906</v>
      </c>
      <c r="Q24" s="4" t="s">
        <v>26</v>
      </c>
      <c r="R24" s="4">
        <v>0</v>
      </c>
      <c r="S24" s="4" t="s">
        <v>94</v>
      </c>
      <c r="T24" s="4" t="s">
        <v>184</v>
      </c>
      <c r="U24" s="4">
        <v>0</v>
      </c>
      <c r="V24" s="4">
        <v>21</v>
      </c>
      <c r="W24" s="4">
        <v>28</v>
      </c>
    </row>
    <row r="25" spans="1:23" ht="11.25" customHeight="1" x14ac:dyDescent="0.25">
      <c r="A25" s="4" t="s">
        <v>27</v>
      </c>
      <c r="B25" s="4" t="s">
        <v>22</v>
      </c>
      <c r="C25" s="4" t="s">
        <v>23</v>
      </c>
      <c r="D25" s="4" t="s">
        <v>24</v>
      </c>
      <c r="E25" s="4" t="s">
        <v>24</v>
      </c>
      <c r="F25" s="4" t="s">
        <v>25</v>
      </c>
      <c r="G25" s="4" t="s">
        <v>25</v>
      </c>
      <c r="H25" s="4" t="s">
        <v>25</v>
      </c>
      <c r="I25" s="5">
        <v>44835</v>
      </c>
      <c r="J25" s="6">
        <v>0</v>
      </c>
      <c r="K25" s="6">
        <v>0</v>
      </c>
      <c r="L25" s="6">
        <v>10.340999999999999</v>
      </c>
      <c r="M25" s="6">
        <v>10.340999999999999</v>
      </c>
      <c r="N25" s="6">
        <v>10.340999999999999</v>
      </c>
      <c r="O25" s="6">
        <v>10.340999999999999</v>
      </c>
      <c r="P25" s="6">
        <v>41</v>
      </c>
      <c r="Q25" s="4" t="s">
        <v>26</v>
      </c>
      <c r="R25" s="4">
        <v>0</v>
      </c>
      <c r="S25" s="4" t="s">
        <v>94</v>
      </c>
      <c r="T25" s="4" t="s">
        <v>184</v>
      </c>
      <c r="U25" s="4">
        <v>0</v>
      </c>
      <c r="V25" s="4">
        <v>21</v>
      </c>
      <c r="W25" s="4">
        <v>28</v>
      </c>
    </row>
    <row r="26" spans="1:23" ht="11.25" customHeight="1" x14ac:dyDescent="0.25">
      <c r="A26" s="4" t="s">
        <v>21</v>
      </c>
      <c r="B26" s="4" t="s">
        <v>22</v>
      </c>
      <c r="C26" s="4" t="s">
        <v>23</v>
      </c>
      <c r="D26" s="4" t="s">
        <v>24</v>
      </c>
      <c r="E26" s="4" t="s">
        <v>41</v>
      </c>
      <c r="F26" s="4" t="s">
        <v>25</v>
      </c>
      <c r="G26" s="4" t="s">
        <v>25</v>
      </c>
      <c r="H26" s="4" t="s">
        <v>25</v>
      </c>
      <c r="I26" s="5">
        <v>44562</v>
      </c>
      <c r="J26" s="6">
        <v>0</v>
      </c>
      <c r="K26" s="6">
        <v>0</v>
      </c>
      <c r="L26" s="6">
        <v>0.03</v>
      </c>
      <c r="M26" s="6">
        <v>0.03</v>
      </c>
      <c r="N26" s="6">
        <v>0.03</v>
      </c>
      <c r="O26" s="6">
        <v>0.03</v>
      </c>
      <c r="P26" s="6">
        <v>1</v>
      </c>
      <c r="Q26" s="4" t="s">
        <v>26</v>
      </c>
      <c r="R26" s="4">
        <v>0</v>
      </c>
      <c r="S26" s="4" t="s">
        <v>95</v>
      </c>
      <c r="T26" s="4" t="s">
        <v>185</v>
      </c>
      <c r="U26" s="4">
        <v>0</v>
      </c>
      <c r="V26" s="4">
        <v>3</v>
      </c>
      <c r="W26" s="4">
        <v>30</v>
      </c>
    </row>
    <row r="27" spans="1:23" ht="11.25" customHeight="1" x14ac:dyDescent="0.25">
      <c r="A27" s="4" t="s">
        <v>21</v>
      </c>
      <c r="B27" s="4" t="s">
        <v>22</v>
      </c>
      <c r="C27" s="4" t="s">
        <v>23</v>
      </c>
      <c r="D27" s="4" t="s">
        <v>24</v>
      </c>
      <c r="E27" s="4" t="s">
        <v>41</v>
      </c>
      <c r="F27" s="4" t="s">
        <v>25</v>
      </c>
      <c r="G27" s="4" t="s">
        <v>25</v>
      </c>
      <c r="H27" s="4" t="s">
        <v>25</v>
      </c>
      <c r="I27" s="5">
        <v>44593</v>
      </c>
      <c r="J27" s="6">
        <v>0</v>
      </c>
      <c r="K27" s="6">
        <v>0</v>
      </c>
      <c r="L27" s="6">
        <v>0.03</v>
      </c>
      <c r="M27" s="6">
        <v>0.03</v>
      </c>
      <c r="N27" s="6">
        <v>0.03</v>
      </c>
      <c r="O27" s="6">
        <v>0.03</v>
      </c>
      <c r="P27" s="6">
        <v>1</v>
      </c>
      <c r="Q27" s="4" t="s">
        <v>26</v>
      </c>
      <c r="R27" s="4">
        <v>0</v>
      </c>
      <c r="S27" s="4" t="s">
        <v>96</v>
      </c>
      <c r="T27" s="4" t="s">
        <v>186</v>
      </c>
      <c r="U27" s="4">
        <v>0</v>
      </c>
      <c r="V27" s="4">
        <v>3</v>
      </c>
      <c r="W27" s="4">
        <v>30</v>
      </c>
    </row>
    <row r="28" spans="1:23" ht="11.25" customHeight="1" x14ac:dyDescent="0.25">
      <c r="A28" s="4" t="s">
        <v>21</v>
      </c>
      <c r="B28" s="4" t="s">
        <v>22</v>
      </c>
      <c r="C28" s="4" t="s">
        <v>23</v>
      </c>
      <c r="D28" s="4" t="s">
        <v>24</v>
      </c>
      <c r="E28" s="4" t="s">
        <v>41</v>
      </c>
      <c r="F28" s="4" t="s">
        <v>25</v>
      </c>
      <c r="G28" s="4" t="s">
        <v>25</v>
      </c>
      <c r="H28" s="4" t="s">
        <v>25</v>
      </c>
      <c r="I28" s="5">
        <v>44621</v>
      </c>
      <c r="J28" s="6">
        <v>0</v>
      </c>
      <c r="K28" s="6">
        <v>0</v>
      </c>
      <c r="L28" s="6">
        <v>0.06</v>
      </c>
      <c r="M28" s="6">
        <v>0.06</v>
      </c>
      <c r="N28" s="6">
        <v>0.06</v>
      </c>
      <c r="O28" s="6">
        <v>0.06</v>
      </c>
      <c r="P28" s="6">
        <v>2</v>
      </c>
      <c r="Q28" s="4" t="s">
        <v>26</v>
      </c>
      <c r="R28" s="4">
        <v>0</v>
      </c>
      <c r="S28" s="4" t="s">
        <v>97</v>
      </c>
      <c r="T28" s="4" t="s">
        <v>187</v>
      </c>
      <c r="U28" s="4">
        <v>0</v>
      </c>
      <c r="V28" s="4">
        <v>3</v>
      </c>
      <c r="W28" s="4">
        <v>30</v>
      </c>
    </row>
    <row r="29" spans="1:23" ht="11.25" customHeight="1" x14ac:dyDescent="0.25">
      <c r="A29" s="4" t="s">
        <v>21</v>
      </c>
      <c r="B29" s="4" t="s">
        <v>22</v>
      </c>
      <c r="C29" s="4" t="s">
        <v>23</v>
      </c>
      <c r="D29" s="4" t="s">
        <v>24</v>
      </c>
      <c r="E29" s="4" t="s">
        <v>41</v>
      </c>
      <c r="F29" s="4" t="s">
        <v>25</v>
      </c>
      <c r="G29" s="4" t="s">
        <v>25</v>
      </c>
      <c r="H29" s="4" t="s">
        <v>25</v>
      </c>
      <c r="I29" s="5">
        <v>44652</v>
      </c>
      <c r="J29" s="6">
        <v>0</v>
      </c>
      <c r="K29" s="6">
        <v>0</v>
      </c>
      <c r="L29" s="6">
        <v>0.03</v>
      </c>
      <c r="M29" s="6">
        <v>0.03</v>
      </c>
      <c r="N29" s="6">
        <v>0.03</v>
      </c>
      <c r="O29" s="6">
        <v>0.03</v>
      </c>
      <c r="P29" s="6">
        <v>1</v>
      </c>
      <c r="Q29" s="4" t="s">
        <v>26</v>
      </c>
      <c r="R29" s="4">
        <v>0</v>
      </c>
      <c r="S29" s="4" t="s">
        <v>98</v>
      </c>
      <c r="T29" s="4" t="s">
        <v>188</v>
      </c>
      <c r="U29" s="4">
        <v>0</v>
      </c>
      <c r="V29" s="4">
        <v>3</v>
      </c>
      <c r="W29" s="4">
        <v>30</v>
      </c>
    </row>
    <row r="30" spans="1:23" ht="11.25" customHeight="1" x14ac:dyDescent="0.25">
      <c r="A30" s="4" t="s">
        <v>21</v>
      </c>
      <c r="B30" s="4" t="s">
        <v>22</v>
      </c>
      <c r="C30" s="4" t="s">
        <v>23</v>
      </c>
      <c r="D30" s="4" t="s">
        <v>24</v>
      </c>
      <c r="E30" s="4" t="s">
        <v>41</v>
      </c>
      <c r="F30" s="4" t="s">
        <v>25</v>
      </c>
      <c r="G30" s="4" t="s">
        <v>25</v>
      </c>
      <c r="H30" s="4" t="s">
        <v>25</v>
      </c>
      <c r="I30" s="5">
        <v>44682</v>
      </c>
      <c r="J30" s="6">
        <v>0</v>
      </c>
      <c r="K30" s="6">
        <v>0</v>
      </c>
      <c r="L30" s="6">
        <v>0.03</v>
      </c>
      <c r="M30" s="6">
        <v>0.03</v>
      </c>
      <c r="N30" s="6">
        <v>0.03</v>
      </c>
      <c r="O30" s="6">
        <v>0.03</v>
      </c>
      <c r="P30" s="6">
        <v>1</v>
      </c>
      <c r="Q30" s="4" t="s">
        <v>26</v>
      </c>
      <c r="R30" s="4">
        <v>0</v>
      </c>
      <c r="S30" s="4" t="s">
        <v>99</v>
      </c>
      <c r="T30" s="4" t="s">
        <v>189</v>
      </c>
      <c r="U30" s="4">
        <v>0</v>
      </c>
      <c r="V30" s="4">
        <v>3</v>
      </c>
      <c r="W30" s="4">
        <v>30</v>
      </c>
    </row>
    <row r="31" spans="1:23" ht="11.25" customHeight="1" x14ac:dyDescent="0.25">
      <c r="A31" s="4" t="s">
        <v>21</v>
      </c>
      <c r="B31" s="4" t="s">
        <v>22</v>
      </c>
      <c r="C31" s="4" t="s">
        <v>23</v>
      </c>
      <c r="D31" s="4" t="s">
        <v>24</v>
      </c>
      <c r="E31" s="4" t="s">
        <v>41</v>
      </c>
      <c r="F31" s="4" t="s">
        <v>25</v>
      </c>
      <c r="G31" s="4" t="s">
        <v>25</v>
      </c>
      <c r="H31" s="4" t="s">
        <v>25</v>
      </c>
      <c r="I31" s="5">
        <v>44713</v>
      </c>
      <c r="J31" s="6">
        <v>0</v>
      </c>
      <c r="K31" s="6">
        <v>0</v>
      </c>
      <c r="L31" s="6">
        <v>0.09</v>
      </c>
      <c r="M31" s="6">
        <v>0.09</v>
      </c>
      <c r="N31" s="6">
        <v>0.09</v>
      </c>
      <c r="O31" s="6">
        <v>0.09</v>
      </c>
      <c r="P31" s="6">
        <v>3</v>
      </c>
      <c r="Q31" s="4" t="s">
        <v>26</v>
      </c>
      <c r="R31" s="4">
        <v>0</v>
      </c>
      <c r="S31" s="4" t="s">
        <v>100</v>
      </c>
      <c r="T31" s="4" t="s">
        <v>190</v>
      </c>
      <c r="U31" s="4">
        <v>0</v>
      </c>
      <c r="V31" s="4">
        <v>3</v>
      </c>
      <c r="W31" s="4">
        <v>30</v>
      </c>
    </row>
    <row r="32" spans="1:23" ht="11.25" customHeight="1" x14ac:dyDescent="0.25">
      <c r="A32" s="4" t="s">
        <v>21</v>
      </c>
      <c r="B32" s="4" t="s">
        <v>22</v>
      </c>
      <c r="C32" s="4" t="s">
        <v>23</v>
      </c>
      <c r="D32" s="4" t="s">
        <v>24</v>
      </c>
      <c r="E32" s="4" t="s">
        <v>41</v>
      </c>
      <c r="F32" s="4" t="s">
        <v>25</v>
      </c>
      <c r="G32" s="4" t="s">
        <v>25</v>
      </c>
      <c r="H32" s="4" t="s">
        <v>25</v>
      </c>
      <c r="I32" s="5">
        <v>44743</v>
      </c>
      <c r="J32" s="6">
        <v>0</v>
      </c>
      <c r="K32" s="6">
        <v>0</v>
      </c>
      <c r="L32" s="6">
        <v>0.12</v>
      </c>
      <c r="M32" s="6">
        <v>0.12</v>
      </c>
      <c r="N32" s="6">
        <v>0.12</v>
      </c>
      <c r="O32" s="6">
        <v>0.12</v>
      </c>
      <c r="P32" s="6">
        <v>4</v>
      </c>
      <c r="Q32" s="4" t="s">
        <v>26</v>
      </c>
      <c r="R32" s="4">
        <v>0</v>
      </c>
      <c r="S32" s="4" t="s">
        <v>101</v>
      </c>
      <c r="T32" s="4" t="s">
        <v>191</v>
      </c>
      <c r="U32" s="4">
        <v>0</v>
      </c>
      <c r="V32" s="4">
        <v>3</v>
      </c>
      <c r="W32" s="4">
        <v>30</v>
      </c>
    </row>
    <row r="33" spans="1:23" ht="11.25" customHeight="1" x14ac:dyDescent="0.25">
      <c r="A33" s="4" t="s">
        <v>21</v>
      </c>
      <c r="B33" s="4" t="s">
        <v>22</v>
      </c>
      <c r="C33" s="4" t="s">
        <v>23</v>
      </c>
      <c r="D33" s="4" t="s">
        <v>24</v>
      </c>
      <c r="E33" s="4" t="s">
        <v>41</v>
      </c>
      <c r="F33" s="4" t="s">
        <v>25</v>
      </c>
      <c r="G33" s="4" t="s">
        <v>25</v>
      </c>
      <c r="H33" s="4" t="s">
        <v>25</v>
      </c>
      <c r="I33" s="5">
        <v>44774</v>
      </c>
      <c r="J33" s="6">
        <v>0</v>
      </c>
      <c r="K33" s="6">
        <v>0</v>
      </c>
      <c r="L33" s="6">
        <v>0.03</v>
      </c>
      <c r="M33" s="6">
        <v>0.03</v>
      </c>
      <c r="N33" s="6">
        <v>0.03</v>
      </c>
      <c r="O33" s="6">
        <v>0.03</v>
      </c>
      <c r="P33" s="6">
        <v>1</v>
      </c>
      <c r="Q33" s="4" t="s">
        <v>26</v>
      </c>
      <c r="R33" s="4">
        <v>0</v>
      </c>
      <c r="S33" s="4" t="s">
        <v>102</v>
      </c>
      <c r="T33" s="4" t="s">
        <v>192</v>
      </c>
      <c r="U33" s="4">
        <v>0</v>
      </c>
      <c r="V33" s="4">
        <v>3</v>
      </c>
      <c r="W33" s="4">
        <v>30</v>
      </c>
    </row>
    <row r="34" spans="1:23" ht="11.25" customHeight="1" x14ac:dyDescent="0.25">
      <c r="A34" s="4" t="s">
        <v>21</v>
      </c>
      <c r="B34" s="4" t="s">
        <v>22</v>
      </c>
      <c r="C34" s="4" t="s">
        <v>23</v>
      </c>
      <c r="D34" s="4" t="s">
        <v>24</v>
      </c>
      <c r="E34" s="4" t="s">
        <v>41</v>
      </c>
      <c r="F34" s="4" t="s">
        <v>25</v>
      </c>
      <c r="G34" s="4" t="s">
        <v>25</v>
      </c>
      <c r="H34" s="4" t="s">
        <v>25</v>
      </c>
      <c r="I34" s="5">
        <v>44805</v>
      </c>
      <c r="J34" s="6">
        <v>0</v>
      </c>
      <c r="K34" s="6">
        <v>0</v>
      </c>
      <c r="L34" s="6">
        <v>0.03</v>
      </c>
      <c r="M34" s="6">
        <v>0.03</v>
      </c>
      <c r="N34" s="6">
        <v>0.03</v>
      </c>
      <c r="O34" s="6">
        <v>0.03</v>
      </c>
      <c r="P34" s="6">
        <v>1</v>
      </c>
      <c r="Q34" s="4" t="s">
        <v>26</v>
      </c>
      <c r="R34" s="4">
        <v>0</v>
      </c>
      <c r="S34" s="4" t="s">
        <v>103</v>
      </c>
      <c r="T34" s="4" t="s">
        <v>193</v>
      </c>
      <c r="U34" s="4">
        <v>0</v>
      </c>
      <c r="V34" s="4">
        <v>3</v>
      </c>
      <c r="W34" s="4">
        <v>30</v>
      </c>
    </row>
    <row r="35" spans="1:23" ht="11.25" customHeight="1" x14ac:dyDescent="0.25">
      <c r="A35" s="4" t="s">
        <v>21</v>
      </c>
      <c r="B35" s="4" t="s">
        <v>22</v>
      </c>
      <c r="C35" s="4" t="s">
        <v>23</v>
      </c>
      <c r="D35" s="4" t="s">
        <v>24</v>
      </c>
      <c r="E35" s="4" t="s">
        <v>41</v>
      </c>
      <c r="F35" s="4" t="s">
        <v>25</v>
      </c>
      <c r="G35" s="4" t="s">
        <v>25</v>
      </c>
      <c r="H35" s="4" t="s">
        <v>25</v>
      </c>
      <c r="I35" s="5">
        <v>44835</v>
      </c>
      <c r="J35" s="6">
        <v>0</v>
      </c>
      <c r="K35" s="6">
        <v>0</v>
      </c>
      <c r="L35" s="6">
        <v>0.03</v>
      </c>
      <c r="M35" s="6">
        <v>0.03</v>
      </c>
      <c r="N35" s="6">
        <v>0.03</v>
      </c>
      <c r="O35" s="6">
        <v>0.03</v>
      </c>
      <c r="P35" s="6">
        <v>1</v>
      </c>
      <c r="Q35" s="4" t="s">
        <v>26</v>
      </c>
      <c r="R35" s="4">
        <v>0</v>
      </c>
      <c r="S35" s="4" t="s">
        <v>104</v>
      </c>
      <c r="T35" s="4" t="s">
        <v>194</v>
      </c>
      <c r="U35" s="4">
        <v>0</v>
      </c>
      <c r="V35" s="4">
        <v>3</v>
      </c>
      <c r="W35" s="4">
        <v>30</v>
      </c>
    </row>
    <row r="36" spans="1:23" ht="11.25" customHeight="1" x14ac:dyDescent="0.25">
      <c r="A36" s="4" t="s">
        <v>21</v>
      </c>
      <c r="B36" s="4" t="s">
        <v>22</v>
      </c>
      <c r="C36" s="4" t="s">
        <v>23</v>
      </c>
      <c r="D36" s="4" t="s">
        <v>24</v>
      </c>
      <c r="E36" s="4" t="s">
        <v>42</v>
      </c>
      <c r="F36" s="4" t="s">
        <v>25</v>
      </c>
      <c r="G36" s="4" t="s">
        <v>25</v>
      </c>
      <c r="H36" s="4" t="s">
        <v>25</v>
      </c>
      <c r="I36" s="5">
        <v>44593</v>
      </c>
      <c r="J36" s="6">
        <v>0</v>
      </c>
      <c r="K36" s="6">
        <v>0</v>
      </c>
      <c r="L36" s="6">
        <v>8.7999999999999995E-2</v>
      </c>
      <c r="M36" s="6">
        <v>8.7999999999999995E-2</v>
      </c>
      <c r="N36" s="6">
        <v>8.7999999999999995E-2</v>
      </c>
      <c r="O36" s="6">
        <v>8.7999999999999995E-2</v>
      </c>
      <c r="P36" s="6">
        <v>1</v>
      </c>
      <c r="Q36" s="4" t="s">
        <v>26</v>
      </c>
      <c r="R36" s="4">
        <v>0</v>
      </c>
      <c r="S36" s="4" t="s">
        <v>105</v>
      </c>
      <c r="T36" s="4" t="s">
        <v>195</v>
      </c>
      <c r="U36" s="4">
        <v>0</v>
      </c>
      <c r="V36" s="4">
        <v>38</v>
      </c>
      <c r="W36" s="4">
        <v>32</v>
      </c>
    </row>
    <row r="37" spans="1:23" ht="11.25" customHeight="1" x14ac:dyDescent="0.25">
      <c r="A37" s="4" t="s">
        <v>21</v>
      </c>
      <c r="B37" s="4" t="s">
        <v>22</v>
      </c>
      <c r="C37" s="4" t="s">
        <v>23</v>
      </c>
      <c r="D37" s="4" t="s">
        <v>24</v>
      </c>
      <c r="E37" s="4" t="s">
        <v>42</v>
      </c>
      <c r="F37" s="4" t="s">
        <v>25</v>
      </c>
      <c r="G37" s="4" t="s">
        <v>25</v>
      </c>
      <c r="H37" s="4" t="s">
        <v>25</v>
      </c>
      <c r="I37" s="5">
        <v>44621</v>
      </c>
      <c r="J37" s="6">
        <v>0</v>
      </c>
      <c r="K37" s="6">
        <v>0</v>
      </c>
      <c r="L37" s="6">
        <v>0.24</v>
      </c>
      <c r="M37" s="6">
        <v>0.24</v>
      </c>
      <c r="N37" s="6">
        <v>0.24</v>
      </c>
      <c r="O37" s="6">
        <v>0.24</v>
      </c>
      <c r="P37" s="6">
        <v>4</v>
      </c>
      <c r="Q37" s="4" t="s">
        <v>26</v>
      </c>
      <c r="R37" s="4">
        <v>0</v>
      </c>
      <c r="S37" s="4" t="s">
        <v>106</v>
      </c>
      <c r="T37" s="4" t="s">
        <v>196</v>
      </c>
      <c r="U37" s="4">
        <v>0</v>
      </c>
      <c r="V37" s="4">
        <v>38</v>
      </c>
      <c r="W37" s="4">
        <v>32</v>
      </c>
    </row>
    <row r="38" spans="1:23" ht="11.25" customHeight="1" x14ac:dyDescent="0.25">
      <c r="A38" s="4" t="s">
        <v>21</v>
      </c>
      <c r="B38" s="4" t="s">
        <v>22</v>
      </c>
      <c r="C38" s="4" t="s">
        <v>23</v>
      </c>
      <c r="D38" s="4" t="s">
        <v>24</v>
      </c>
      <c r="E38" s="4" t="s">
        <v>42</v>
      </c>
      <c r="F38" s="4" t="s">
        <v>25</v>
      </c>
      <c r="G38" s="4" t="s">
        <v>25</v>
      </c>
      <c r="H38" s="4" t="s">
        <v>25</v>
      </c>
      <c r="I38" s="5">
        <v>44652</v>
      </c>
      <c r="J38" s="6">
        <v>0</v>
      </c>
      <c r="K38" s="6">
        <v>0</v>
      </c>
      <c r="L38" s="6">
        <v>0.81100000000000005</v>
      </c>
      <c r="M38" s="6">
        <v>0.81100000000000005</v>
      </c>
      <c r="N38" s="6">
        <v>0.81100000000000005</v>
      </c>
      <c r="O38" s="6">
        <v>0.81100000000000005</v>
      </c>
      <c r="P38" s="6">
        <v>13</v>
      </c>
      <c r="Q38" s="4" t="s">
        <v>26</v>
      </c>
      <c r="R38" s="4">
        <v>0</v>
      </c>
      <c r="S38" s="4" t="s">
        <v>107</v>
      </c>
      <c r="T38" s="4" t="s">
        <v>197</v>
      </c>
      <c r="U38" s="4">
        <v>0</v>
      </c>
      <c r="V38" s="4">
        <v>38</v>
      </c>
      <c r="W38" s="4">
        <v>32</v>
      </c>
    </row>
    <row r="39" spans="1:23" ht="11.25" customHeight="1" x14ac:dyDescent="0.25">
      <c r="A39" s="4" t="s">
        <v>21</v>
      </c>
      <c r="B39" s="4" t="s">
        <v>22</v>
      </c>
      <c r="C39" s="4" t="s">
        <v>23</v>
      </c>
      <c r="D39" s="4" t="s">
        <v>24</v>
      </c>
      <c r="E39" s="4" t="s">
        <v>42</v>
      </c>
      <c r="F39" s="4" t="s">
        <v>25</v>
      </c>
      <c r="G39" s="4" t="s">
        <v>25</v>
      </c>
      <c r="H39" s="4" t="s">
        <v>25</v>
      </c>
      <c r="I39" s="5">
        <v>44682</v>
      </c>
      <c r="J39" s="6">
        <v>0</v>
      </c>
      <c r="K39" s="6">
        <v>0</v>
      </c>
      <c r="L39" s="6">
        <v>0.97299999999999998</v>
      </c>
      <c r="M39" s="6">
        <v>0.97299999999999998</v>
      </c>
      <c r="N39" s="6">
        <v>0.97299999999999998</v>
      </c>
      <c r="O39" s="6">
        <v>0.97299999999999998</v>
      </c>
      <c r="P39" s="6">
        <v>17</v>
      </c>
      <c r="Q39" s="4" t="s">
        <v>26</v>
      </c>
      <c r="R39" s="4">
        <v>0</v>
      </c>
      <c r="S39" s="4" t="s">
        <v>108</v>
      </c>
      <c r="T39" s="4" t="s">
        <v>198</v>
      </c>
      <c r="U39" s="4">
        <v>0</v>
      </c>
      <c r="V39" s="4">
        <v>38</v>
      </c>
      <c r="W39" s="4">
        <v>32</v>
      </c>
    </row>
    <row r="40" spans="1:23" ht="11.25" customHeight="1" x14ac:dyDescent="0.25">
      <c r="A40" s="4" t="s">
        <v>21</v>
      </c>
      <c r="B40" s="4" t="s">
        <v>22</v>
      </c>
      <c r="C40" s="4" t="s">
        <v>23</v>
      </c>
      <c r="D40" s="4" t="s">
        <v>24</v>
      </c>
      <c r="E40" s="4" t="s">
        <v>42</v>
      </c>
      <c r="F40" s="4" t="s">
        <v>25</v>
      </c>
      <c r="G40" s="4" t="s">
        <v>25</v>
      </c>
      <c r="H40" s="4" t="s">
        <v>25</v>
      </c>
      <c r="I40" s="5">
        <v>44713</v>
      </c>
      <c r="J40" s="6">
        <v>0</v>
      </c>
      <c r="K40" s="6">
        <v>0</v>
      </c>
      <c r="L40" s="6">
        <v>1.0389999999999999</v>
      </c>
      <c r="M40" s="6">
        <v>1.0389999999999999</v>
      </c>
      <c r="N40" s="6">
        <v>1.0389999999999999</v>
      </c>
      <c r="O40" s="6">
        <v>1.0389999999999999</v>
      </c>
      <c r="P40" s="6">
        <v>16</v>
      </c>
      <c r="Q40" s="4" t="s">
        <v>26</v>
      </c>
      <c r="R40" s="4">
        <v>0</v>
      </c>
      <c r="S40" s="4" t="s">
        <v>109</v>
      </c>
      <c r="T40" s="4" t="s">
        <v>199</v>
      </c>
      <c r="U40" s="4">
        <v>0</v>
      </c>
      <c r="V40" s="4">
        <v>38</v>
      </c>
      <c r="W40" s="4">
        <v>32</v>
      </c>
    </row>
    <row r="41" spans="1:23" ht="11.25" customHeight="1" x14ac:dyDescent="0.25">
      <c r="A41" s="4" t="s">
        <v>21</v>
      </c>
      <c r="B41" s="4" t="s">
        <v>22</v>
      </c>
      <c r="C41" s="4" t="s">
        <v>23</v>
      </c>
      <c r="D41" s="4" t="s">
        <v>24</v>
      </c>
      <c r="E41" s="4" t="s">
        <v>42</v>
      </c>
      <c r="F41" s="4" t="s">
        <v>25</v>
      </c>
      <c r="G41" s="4" t="s">
        <v>25</v>
      </c>
      <c r="H41" s="4" t="s">
        <v>25</v>
      </c>
      <c r="I41" s="5">
        <v>44743</v>
      </c>
      <c r="J41" s="6">
        <v>0</v>
      </c>
      <c r="K41" s="6">
        <v>0</v>
      </c>
      <c r="L41" s="6">
        <v>1.1870000000000001</v>
      </c>
      <c r="M41" s="6">
        <v>1.1870000000000001</v>
      </c>
      <c r="N41" s="6">
        <v>1.1870000000000001</v>
      </c>
      <c r="O41" s="6">
        <v>1.1870000000000001</v>
      </c>
      <c r="P41" s="6">
        <v>18</v>
      </c>
      <c r="Q41" s="4" t="s">
        <v>26</v>
      </c>
      <c r="R41" s="4">
        <v>0</v>
      </c>
      <c r="S41" s="4" t="s">
        <v>110</v>
      </c>
      <c r="T41" s="4" t="s">
        <v>200</v>
      </c>
      <c r="U41" s="4">
        <v>0</v>
      </c>
      <c r="V41" s="4">
        <v>38</v>
      </c>
      <c r="W41" s="4">
        <v>32</v>
      </c>
    </row>
    <row r="42" spans="1:23" ht="11.25" customHeight="1" x14ac:dyDescent="0.25">
      <c r="A42" s="4" t="s">
        <v>21</v>
      </c>
      <c r="B42" s="4" t="s">
        <v>22</v>
      </c>
      <c r="C42" s="4" t="s">
        <v>23</v>
      </c>
      <c r="D42" s="4" t="s">
        <v>24</v>
      </c>
      <c r="E42" s="4" t="s">
        <v>42</v>
      </c>
      <c r="F42" s="4" t="s">
        <v>25</v>
      </c>
      <c r="G42" s="4" t="s">
        <v>25</v>
      </c>
      <c r="H42" s="4" t="s">
        <v>25</v>
      </c>
      <c r="I42" s="5">
        <v>44774</v>
      </c>
      <c r="J42" s="6">
        <v>0</v>
      </c>
      <c r="K42" s="6">
        <v>0</v>
      </c>
      <c r="L42" s="6">
        <v>1.0620000000000001</v>
      </c>
      <c r="M42" s="6">
        <v>1.0620000000000001</v>
      </c>
      <c r="N42" s="6">
        <v>1.0620000000000001</v>
      </c>
      <c r="O42" s="6">
        <v>1.0620000000000001</v>
      </c>
      <c r="P42" s="6">
        <v>15</v>
      </c>
      <c r="Q42" s="4" t="s">
        <v>26</v>
      </c>
      <c r="R42" s="4">
        <v>0</v>
      </c>
      <c r="S42" s="4" t="s">
        <v>111</v>
      </c>
      <c r="T42" s="4" t="s">
        <v>201</v>
      </c>
      <c r="U42" s="4">
        <v>0</v>
      </c>
      <c r="V42" s="4">
        <v>38</v>
      </c>
      <c r="W42" s="4">
        <v>32</v>
      </c>
    </row>
    <row r="43" spans="1:23" ht="11.25" customHeight="1" x14ac:dyDescent="0.25">
      <c r="A43" s="4" t="s">
        <v>21</v>
      </c>
      <c r="B43" s="4" t="s">
        <v>22</v>
      </c>
      <c r="C43" s="4" t="s">
        <v>23</v>
      </c>
      <c r="D43" s="4" t="s">
        <v>24</v>
      </c>
      <c r="E43" s="4" t="s">
        <v>42</v>
      </c>
      <c r="F43" s="4" t="s">
        <v>25</v>
      </c>
      <c r="G43" s="4" t="s">
        <v>25</v>
      </c>
      <c r="H43" s="4" t="s">
        <v>25</v>
      </c>
      <c r="I43" s="5">
        <v>44805</v>
      </c>
      <c r="J43" s="6">
        <v>0</v>
      </c>
      <c r="K43" s="6">
        <v>0</v>
      </c>
      <c r="L43" s="6">
        <v>0.99</v>
      </c>
      <c r="M43" s="6">
        <v>0.99</v>
      </c>
      <c r="N43" s="6">
        <v>0.99</v>
      </c>
      <c r="O43" s="6">
        <v>0.99</v>
      </c>
      <c r="P43" s="6">
        <v>14</v>
      </c>
      <c r="Q43" s="4" t="s">
        <v>26</v>
      </c>
      <c r="R43" s="4">
        <v>0</v>
      </c>
      <c r="S43" s="4" t="s">
        <v>112</v>
      </c>
      <c r="T43" s="4" t="s">
        <v>202</v>
      </c>
      <c r="U43" s="4">
        <v>0</v>
      </c>
      <c r="V43" s="4">
        <v>38</v>
      </c>
      <c r="W43" s="4">
        <v>32</v>
      </c>
    </row>
    <row r="44" spans="1:23" ht="11.25" customHeight="1" x14ac:dyDescent="0.25">
      <c r="A44" s="4" t="s">
        <v>21</v>
      </c>
      <c r="B44" s="4" t="s">
        <v>22</v>
      </c>
      <c r="C44" s="4" t="s">
        <v>23</v>
      </c>
      <c r="D44" s="4" t="s">
        <v>24</v>
      </c>
      <c r="E44" s="4" t="s">
        <v>42</v>
      </c>
      <c r="F44" s="4" t="s">
        <v>25</v>
      </c>
      <c r="G44" s="4" t="s">
        <v>25</v>
      </c>
      <c r="H44" s="4" t="s">
        <v>25</v>
      </c>
      <c r="I44" s="5">
        <v>44835</v>
      </c>
      <c r="J44" s="6">
        <v>0</v>
      </c>
      <c r="K44" s="6">
        <v>0</v>
      </c>
      <c r="L44" s="6">
        <v>0.92300000000000004</v>
      </c>
      <c r="M44" s="6">
        <v>0.92300000000000004</v>
      </c>
      <c r="N44" s="6">
        <v>0.92300000000000004</v>
      </c>
      <c r="O44" s="6">
        <v>0.92300000000000004</v>
      </c>
      <c r="P44" s="6">
        <v>13</v>
      </c>
      <c r="Q44" s="4" t="s">
        <v>26</v>
      </c>
      <c r="R44" s="4">
        <v>0</v>
      </c>
      <c r="S44" s="4" t="s">
        <v>113</v>
      </c>
      <c r="T44" s="4" t="s">
        <v>203</v>
      </c>
      <c r="U44" s="4">
        <v>0</v>
      </c>
      <c r="V44" s="4">
        <v>38</v>
      </c>
      <c r="W44" s="4">
        <v>32</v>
      </c>
    </row>
    <row r="45" spans="1:23" ht="11.25" customHeight="1" x14ac:dyDescent="0.25">
      <c r="A45" s="4" t="s">
        <v>21</v>
      </c>
      <c r="B45" s="4" t="s">
        <v>22</v>
      </c>
      <c r="C45" s="4" t="s">
        <v>23</v>
      </c>
      <c r="D45" s="4" t="s">
        <v>24</v>
      </c>
      <c r="E45" s="4" t="s">
        <v>39</v>
      </c>
      <c r="F45" s="4" t="s">
        <v>25</v>
      </c>
      <c r="G45" s="4" t="s">
        <v>25</v>
      </c>
      <c r="H45" s="4" t="s">
        <v>25</v>
      </c>
      <c r="I45" s="5">
        <v>44531</v>
      </c>
      <c r="J45" s="6">
        <v>0</v>
      </c>
      <c r="K45" s="6">
        <v>0</v>
      </c>
      <c r="L45" s="6">
        <v>0.55300000000000005</v>
      </c>
      <c r="M45" s="6">
        <v>0.55300000000000005</v>
      </c>
      <c r="N45" s="6">
        <v>0.55300000000000005</v>
      </c>
      <c r="O45" s="6">
        <v>0.55300000000000005</v>
      </c>
      <c r="P45" s="6">
        <v>3</v>
      </c>
      <c r="Q45" s="4" t="s">
        <v>26</v>
      </c>
      <c r="R45" s="4">
        <v>0</v>
      </c>
      <c r="S45" s="4" t="s">
        <v>114</v>
      </c>
      <c r="T45" s="4" t="s">
        <v>204</v>
      </c>
      <c r="U45" s="4">
        <v>0</v>
      </c>
      <c r="V45" s="4">
        <v>5</v>
      </c>
      <c r="W45" s="4">
        <v>23</v>
      </c>
    </row>
    <row r="46" spans="1:23" ht="11.25" customHeight="1" x14ac:dyDescent="0.25">
      <c r="A46" s="4" t="s">
        <v>21</v>
      </c>
      <c r="B46" s="4" t="s">
        <v>22</v>
      </c>
      <c r="C46" s="4" t="s">
        <v>23</v>
      </c>
      <c r="D46" s="4" t="s">
        <v>24</v>
      </c>
      <c r="E46" s="4" t="s">
        <v>39</v>
      </c>
      <c r="F46" s="4" t="s">
        <v>25</v>
      </c>
      <c r="G46" s="4" t="s">
        <v>25</v>
      </c>
      <c r="H46" s="4" t="s">
        <v>25</v>
      </c>
      <c r="I46" s="5">
        <v>44562</v>
      </c>
      <c r="J46" s="6">
        <v>0</v>
      </c>
      <c r="K46" s="6">
        <v>0</v>
      </c>
      <c r="L46" s="6">
        <v>0.495</v>
      </c>
      <c r="M46" s="6">
        <v>0.495</v>
      </c>
      <c r="N46" s="6">
        <v>0.495</v>
      </c>
      <c r="O46" s="6">
        <v>0.495</v>
      </c>
      <c r="P46" s="6">
        <v>3</v>
      </c>
      <c r="Q46" s="4" t="s">
        <v>26</v>
      </c>
      <c r="R46" s="4">
        <v>0</v>
      </c>
      <c r="S46" s="4" t="s">
        <v>115</v>
      </c>
      <c r="T46" s="4" t="s">
        <v>205</v>
      </c>
      <c r="U46" s="4">
        <v>0</v>
      </c>
      <c r="V46" s="4">
        <v>5</v>
      </c>
      <c r="W46" s="4">
        <v>23</v>
      </c>
    </row>
    <row r="47" spans="1:23" ht="11.25" customHeight="1" x14ac:dyDescent="0.25">
      <c r="A47" s="4" t="s">
        <v>21</v>
      </c>
      <c r="B47" s="4" t="s">
        <v>22</v>
      </c>
      <c r="C47" s="4" t="s">
        <v>23</v>
      </c>
      <c r="D47" s="4" t="s">
        <v>24</v>
      </c>
      <c r="E47" s="4" t="s">
        <v>39</v>
      </c>
      <c r="F47" s="4" t="s">
        <v>25</v>
      </c>
      <c r="G47" s="4" t="s">
        <v>25</v>
      </c>
      <c r="H47" s="4" t="s">
        <v>25</v>
      </c>
      <c r="I47" s="5">
        <v>44593</v>
      </c>
      <c r="J47" s="6">
        <v>0</v>
      </c>
      <c r="K47" s="6">
        <v>0</v>
      </c>
      <c r="L47" s="6">
        <v>0.49099999999999999</v>
      </c>
      <c r="M47" s="6">
        <v>0.49099999999999999</v>
      </c>
      <c r="N47" s="6">
        <v>0.49099999999999999</v>
      </c>
      <c r="O47" s="6">
        <v>0.49099999999999999</v>
      </c>
      <c r="P47" s="6">
        <v>3</v>
      </c>
      <c r="Q47" s="4" t="s">
        <v>26</v>
      </c>
      <c r="R47" s="4">
        <v>0</v>
      </c>
      <c r="S47" s="4" t="s">
        <v>116</v>
      </c>
      <c r="T47" s="4" t="s">
        <v>206</v>
      </c>
      <c r="U47" s="4">
        <v>0</v>
      </c>
      <c r="V47" s="4">
        <v>5</v>
      </c>
      <c r="W47" s="4">
        <v>23</v>
      </c>
    </row>
    <row r="48" spans="1:23" ht="11.25" customHeight="1" x14ac:dyDescent="0.25">
      <c r="A48" s="4" t="s">
        <v>21</v>
      </c>
      <c r="B48" s="4" t="s">
        <v>22</v>
      </c>
      <c r="C48" s="4" t="s">
        <v>23</v>
      </c>
      <c r="D48" s="4" t="s">
        <v>24</v>
      </c>
      <c r="E48" s="4" t="s">
        <v>39</v>
      </c>
      <c r="F48" s="4" t="s">
        <v>25</v>
      </c>
      <c r="G48" s="4" t="s">
        <v>25</v>
      </c>
      <c r="H48" s="4" t="s">
        <v>25</v>
      </c>
      <c r="I48" s="5">
        <v>44621</v>
      </c>
      <c r="J48" s="6">
        <v>0</v>
      </c>
      <c r="K48" s="6">
        <v>0</v>
      </c>
      <c r="L48" s="6">
        <v>3.1960000000000002</v>
      </c>
      <c r="M48" s="6">
        <v>3.1960000000000002</v>
      </c>
      <c r="N48" s="6">
        <v>3.1960000000000002</v>
      </c>
      <c r="O48" s="6">
        <v>3.1960000000000002</v>
      </c>
      <c r="P48" s="6">
        <v>19</v>
      </c>
      <c r="Q48" s="4" t="s">
        <v>26</v>
      </c>
      <c r="R48" s="4">
        <v>0</v>
      </c>
      <c r="S48" s="4" t="s">
        <v>117</v>
      </c>
      <c r="T48" s="4" t="s">
        <v>207</v>
      </c>
      <c r="U48" s="4">
        <v>0</v>
      </c>
      <c r="V48" s="4">
        <v>5</v>
      </c>
      <c r="W48" s="4">
        <v>23</v>
      </c>
    </row>
    <row r="49" spans="1:23" ht="11.25" customHeight="1" x14ac:dyDescent="0.25">
      <c r="A49" s="4" t="s">
        <v>21</v>
      </c>
      <c r="B49" s="4" t="s">
        <v>22</v>
      </c>
      <c r="C49" s="4" t="s">
        <v>23</v>
      </c>
      <c r="D49" s="4" t="s">
        <v>24</v>
      </c>
      <c r="E49" s="4" t="s">
        <v>39</v>
      </c>
      <c r="F49" s="4" t="s">
        <v>25</v>
      </c>
      <c r="G49" s="4" t="s">
        <v>25</v>
      </c>
      <c r="H49" s="4" t="s">
        <v>25</v>
      </c>
      <c r="I49" s="5">
        <v>44652</v>
      </c>
      <c r="J49" s="6">
        <v>0</v>
      </c>
      <c r="K49" s="6">
        <v>0</v>
      </c>
      <c r="L49" s="6">
        <v>10.061</v>
      </c>
      <c r="M49" s="6">
        <v>10.061</v>
      </c>
      <c r="N49" s="6">
        <v>10.061</v>
      </c>
      <c r="O49" s="6">
        <v>10.061</v>
      </c>
      <c r="P49" s="6">
        <v>62</v>
      </c>
      <c r="Q49" s="4" t="s">
        <v>26</v>
      </c>
      <c r="R49" s="4">
        <v>0</v>
      </c>
      <c r="S49" s="4" t="s">
        <v>118</v>
      </c>
      <c r="T49" s="4" t="s">
        <v>208</v>
      </c>
      <c r="U49" s="4">
        <v>0</v>
      </c>
      <c r="V49" s="4">
        <v>5</v>
      </c>
      <c r="W49" s="4">
        <v>23</v>
      </c>
    </row>
    <row r="50" spans="1:23" ht="11.25" customHeight="1" x14ac:dyDescent="0.25">
      <c r="A50" s="4" t="s">
        <v>21</v>
      </c>
      <c r="B50" s="4" t="s">
        <v>22</v>
      </c>
      <c r="C50" s="4" t="s">
        <v>23</v>
      </c>
      <c r="D50" s="4" t="s">
        <v>24</v>
      </c>
      <c r="E50" s="4" t="s">
        <v>39</v>
      </c>
      <c r="F50" s="4" t="s">
        <v>25</v>
      </c>
      <c r="G50" s="4" t="s">
        <v>25</v>
      </c>
      <c r="H50" s="4" t="s">
        <v>25</v>
      </c>
      <c r="I50" s="5">
        <v>44682</v>
      </c>
      <c r="J50" s="6">
        <v>0</v>
      </c>
      <c r="K50" s="6">
        <v>0</v>
      </c>
      <c r="L50" s="6">
        <v>11.696</v>
      </c>
      <c r="M50" s="6">
        <v>11.696</v>
      </c>
      <c r="N50" s="6">
        <v>11.696</v>
      </c>
      <c r="O50" s="6">
        <v>11.696</v>
      </c>
      <c r="P50" s="6">
        <v>73</v>
      </c>
      <c r="Q50" s="4" t="s">
        <v>26</v>
      </c>
      <c r="R50" s="4">
        <v>0</v>
      </c>
      <c r="S50" s="4" t="s">
        <v>119</v>
      </c>
      <c r="T50" s="4" t="s">
        <v>209</v>
      </c>
      <c r="U50" s="4">
        <v>0</v>
      </c>
      <c r="V50" s="4">
        <v>5</v>
      </c>
      <c r="W50" s="4">
        <v>23</v>
      </c>
    </row>
    <row r="51" spans="1:23" ht="11.25" customHeight="1" x14ac:dyDescent="0.25">
      <c r="A51" s="4" t="s">
        <v>21</v>
      </c>
      <c r="B51" s="4" t="s">
        <v>22</v>
      </c>
      <c r="C51" s="4" t="s">
        <v>23</v>
      </c>
      <c r="D51" s="4" t="s">
        <v>24</v>
      </c>
      <c r="E51" s="4" t="s">
        <v>39</v>
      </c>
      <c r="F51" s="4" t="s">
        <v>25</v>
      </c>
      <c r="G51" s="4" t="s">
        <v>25</v>
      </c>
      <c r="H51" s="4" t="s">
        <v>25</v>
      </c>
      <c r="I51" s="5">
        <v>44713</v>
      </c>
      <c r="J51" s="6">
        <v>0</v>
      </c>
      <c r="K51" s="6">
        <v>0</v>
      </c>
      <c r="L51" s="6">
        <v>10.15</v>
      </c>
      <c r="M51" s="6">
        <v>10.15</v>
      </c>
      <c r="N51" s="6">
        <v>10.15</v>
      </c>
      <c r="O51" s="6">
        <v>10.15</v>
      </c>
      <c r="P51" s="6">
        <v>62</v>
      </c>
      <c r="Q51" s="4" t="s">
        <v>26</v>
      </c>
      <c r="R51" s="4">
        <v>0</v>
      </c>
      <c r="S51" s="4" t="s">
        <v>120</v>
      </c>
      <c r="T51" s="4" t="s">
        <v>210</v>
      </c>
      <c r="U51" s="4">
        <v>0</v>
      </c>
      <c r="V51" s="4">
        <v>5</v>
      </c>
      <c r="W51" s="4">
        <v>23</v>
      </c>
    </row>
    <row r="52" spans="1:23" ht="11.25" customHeight="1" x14ac:dyDescent="0.25">
      <c r="A52" s="4" t="s">
        <v>21</v>
      </c>
      <c r="B52" s="4" t="s">
        <v>22</v>
      </c>
      <c r="C52" s="4" t="s">
        <v>23</v>
      </c>
      <c r="D52" s="4" t="s">
        <v>24</v>
      </c>
      <c r="E52" s="4" t="s">
        <v>39</v>
      </c>
      <c r="F52" s="4" t="s">
        <v>25</v>
      </c>
      <c r="G52" s="4" t="s">
        <v>25</v>
      </c>
      <c r="H52" s="4" t="s">
        <v>25</v>
      </c>
      <c r="I52" s="5">
        <v>44743</v>
      </c>
      <c r="J52" s="6">
        <v>0</v>
      </c>
      <c r="K52" s="6">
        <v>0</v>
      </c>
      <c r="L52" s="6">
        <v>10.058</v>
      </c>
      <c r="M52" s="6">
        <v>10.058</v>
      </c>
      <c r="N52" s="6">
        <v>10.058</v>
      </c>
      <c r="O52" s="6">
        <v>10.058</v>
      </c>
      <c r="P52" s="6">
        <v>61</v>
      </c>
      <c r="Q52" s="4" t="s">
        <v>26</v>
      </c>
      <c r="R52" s="4">
        <v>0</v>
      </c>
      <c r="S52" s="4" t="s">
        <v>121</v>
      </c>
      <c r="T52" s="4" t="s">
        <v>211</v>
      </c>
      <c r="U52" s="4">
        <v>0</v>
      </c>
      <c r="V52" s="4">
        <v>5</v>
      </c>
      <c r="W52" s="4">
        <v>23</v>
      </c>
    </row>
    <row r="53" spans="1:23" ht="11.25" customHeight="1" x14ac:dyDescent="0.25">
      <c r="A53" s="4" t="s">
        <v>21</v>
      </c>
      <c r="B53" s="4" t="s">
        <v>22</v>
      </c>
      <c r="C53" s="4" t="s">
        <v>23</v>
      </c>
      <c r="D53" s="4" t="s">
        <v>24</v>
      </c>
      <c r="E53" s="4" t="s">
        <v>39</v>
      </c>
      <c r="F53" s="4" t="s">
        <v>25</v>
      </c>
      <c r="G53" s="4" t="s">
        <v>25</v>
      </c>
      <c r="H53" s="4" t="s">
        <v>25</v>
      </c>
      <c r="I53" s="5">
        <v>44774</v>
      </c>
      <c r="J53" s="6">
        <v>0</v>
      </c>
      <c r="K53" s="6">
        <v>0</v>
      </c>
      <c r="L53" s="6">
        <v>9.83</v>
      </c>
      <c r="M53" s="6">
        <v>9.83</v>
      </c>
      <c r="N53" s="6">
        <v>9.83</v>
      </c>
      <c r="O53" s="6">
        <v>9.83</v>
      </c>
      <c r="P53" s="6">
        <v>60</v>
      </c>
      <c r="Q53" s="4" t="s">
        <v>26</v>
      </c>
      <c r="R53" s="4">
        <v>0</v>
      </c>
      <c r="S53" s="4" t="s">
        <v>122</v>
      </c>
      <c r="T53" s="4" t="s">
        <v>212</v>
      </c>
      <c r="U53" s="4">
        <v>0</v>
      </c>
      <c r="V53" s="4">
        <v>5</v>
      </c>
      <c r="W53" s="4">
        <v>23</v>
      </c>
    </row>
    <row r="54" spans="1:23" ht="11.25" customHeight="1" x14ac:dyDescent="0.25">
      <c r="A54" s="4" t="s">
        <v>21</v>
      </c>
      <c r="B54" s="4" t="s">
        <v>22</v>
      </c>
      <c r="C54" s="4" t="s">
        <v>23</v>
      </c>
      <c r="D54" s="4" t="s">
        <v>24</v>
      </c>
      <c r="E54" s="4" t="s">
        <v>39</v>
      </c>
      <c r="F54" s="4" t="s">
        <v>25</v>
      </c>
      <c r="G54" s="4" t="s">
        <v>25</v>
      </c>
      <c r="H54" s="4" t="s">
        <v>25</v>
      </c>
      <c r="I54" s="5">
        <v>44805</v>
      </c>
      <c r="J54" s="6">
        <v>0</v>
      </c>
      <c r="K54" s="6">
        <v>0</v>
      </c>
      <c r="L54" s="6">
        <v>11.214</v>
      </c>
      <c r="M54" s="6">
        <v>11.214</v>
      </c>
      <c r="N54" s="6">
        <v>11.214</v>
      </c>
      <c r="O54" s="6">
        <v>11.214</v>
      </c>
      <c r="P54" s="6">
        <v>69</v>
      </c>
      <c r="Q54" s="4" t="s">
        <v>26</v>
      </c>
      <c r="R54" s="4">
        <v>0</v>
      </c>
      <c r="S54" s="4" t="s">
        <v>123</v>
      </c>
      <c r="T54" s="4" t="s">
        <v>213</v>
      </c>
      <c r="U54" s="4">
        <v>0</v>
      </c>
      <c r="V54" s="4">
        <v>5</v>
      </c>
      <c r="W54" s="4">
        <v>23</v>
      </c>
    </row>
    <row r="55" spans="1:23" ht="11.25" customHeight="1" x14ac:dyDescent="0.25">
      <c r="A55" s="4" t="s">
        <v>21</v>
      </c>
      <c r="B55" s="4" t="s">
        <v>22</v>
      </c>
      <c r="C55" s="4" t="s">
        <v>23</v>
      </c>
      <c r="D55" s="4" t="s">
        <v>24</v>
      </c>
      <c r="E55" s="4" t="s">
        <v>39</v>
      </c>
      <c r="F55" s="4" t="s">
        <v>25</v>
      </c>
      <c r="G55" s="4" t="s">
        <v>25</v>
      </c>
      <c r="H55" s="4" t="s">
        <v>25</v>
      </c>
      <c r="I55" s="5">
        <v>44835</v>
      </c>
      <c r="J55" s="6">
        <v>0</v>
      </c>
      <c r="K55" s="6">
        <v>0</v>
      </c>
      <c r="L55" s="6">
        <v>9.5440000000000005</v>
      </c>
      <c r="M55" s="6">
        <v>9.5440000000000005</v>
      </c>
      <c r="N55" s="6">
        <v>9.5440000000000005</v>
      </c>
      <c r="O55" s="6">
        <v>9.5440000000000005</v>
      </c>
      <c r="P55" s="6">
        <v>61</v>
      </c>
      <c r="Q55" s="4" t="s">
        <v>26</v>
      </c>
      <c r="R55" s="4">
        <v>0</v>
      </c>
      <c r="S55" s="4" t="s">
        <v>124</v>
      </c>
      <c r="T55" s="4" t="s">
        <v>214</v>
      </c>
      <c r="U55" s="4">
        <v>0</v>
      </c>
      <c r="V55" s="4">
        <v>5</v>
      </c>
      <c r="W55" s="4">
        <v>23</v>
      </c>
    </row>
    <row r="56" spans="1:23" ht="11.25" customHeight="1" x14ac:dyDescent="0.25">
      <c r="A56" s="4" t="s">
        <v>21</v>
      </c>
      <c r="B56" s="4" t="s">
        <v>22</v>
      </c>
      <c r="C56" s="4" t="s">
        <v>23</v>
      </c>
      <c r="D56" s="4" t="s">
        <v>24</v>
      </c>
      <c r="E56" s="4" t="s">
        <v>40</v>
      </c>
      <c r="F56" s="4" t="s">
        <v>25</v>
      </c>
      <c r="G56" s="4" t="s">
        <v>25</v>
      </c>
      <c r="H56" s="4" t="s">
        <v>25</v>
      </c>
      <c r="I56" s="5">
        <v>44531</v>
      </c>
      <c r="J56" s="6">
        <v>0</v>
      </c>
      <c r="K56" s="6">
        <v>0</v>
      </c>
      <c r="L56" s="6">
        <v>1.401</v>
      </c>
      <c r="M56" s="6">
        <v>1.401</v>
      </c>
      <c r="N56" s="6">
        <v>1.401</v>
      </c>
      <c r="O56" s="6">
        <v>1.401</v>
      </c>
      <c r="P56" s="6">
        <v>4</v>
      </c>
      <c r="Q56" s="4" t="s">
        <v>26</v>
      </c>
      <c r="R56" s="4">
        <v>0</v>
      </c>
      <c r="S56" s="4" t="s">
        <v>125</v>
      </c>
      <c r="T56" s="4" t="s">
        <v>215</v>
      </c>
      <c r="U56" s="4">
        <v>0</v>
      </c>
      <c r="V56" s="4">
        <v>37</v>
      </c>
      <c r="W56" s="4">
        <v>62</v>
      </c>
    </row>
    <row r="57" spans="1:23" ht="11.25" customHeight="1" x14ac:dyDescent="0.25">
      <c r="A57" s="4" t="s">
        <v>21</v>
      </c>
      <c r="B57" s="4" t="s">
        <v>22</v>
      </c>
      <c r="C57" s="4" t="s">
        <v>23</v>
      </c>
      <c r="D57" s="4" t="s">
        <v>24</v>
      </c>
      <c r="E57" s="4" t="s">
        <v>40</v>
      </c>
      <c r="F57" s="4" t="s">
        <v>25</v>
      </c>
      <c r="G57" s="4" t="s">
        <v>25</v>
      </c>
      <c r="H57" s="4" t="s">
        <v>25</v>
      </c>
      <c r="I57" s="5">
        <v>44562</v>
      </c>
      <c r="J57" s="6">
        <v>0</v>
      </c>
      <c r="K57" s="6">
        <v>0</v>
      </c>
      <c r="L57" s="6">
        <v>1.125</v>
      </c>
      <c r="M57" s="6">
        <v>1.125</v>
      </c>
      <c r="N57" s="6">
        <v>1.125</v>
      </c>
      <c r="O57" s="6">
        <v>1.125</v>
      </c>
      <c r="P57" s="6">
        <v>3</v>
      </c>
      <c r="Q57" s="4" t="s">
        <v>26</v>
      </c>
      <c r="R57" s="4">
        <v>0</v>
      </c>
      <c r="S57" s="4" t="s">
        <v>126</v>
      </c>
      <c r="T57" s="4" t="s">
        <v>216</v>
      </c>
      <c r="U57" s="4">
        <v>0</v>
      </c>
      <c r="V57" s="4">
        <v>37</v>
      </c>
      <c r="W57" s="4">
        <v>62</v>
      </c>
    </row>
    <row r="58" spans="1:23" ht="11.25" customHeight="1" x14ac:dyDescent="0.25">
      <c r="A58" s="4" t="s">
        <v>21</v>
      </c>
      <c r="B58" s="4" t="s">
        <v>22</v>
      </c>
      <c r="C58" s="4" t="s">
        <v>23</v>
      </c>
      <c r="D58" s="4" t="s">
        <v>24</v>
      </c>
      <c r="E58" s="4" t="s">
        <v>40</v>
      </c>
      <c r="F58" s="4" t="s">
        <v>25</v>
      </c>
      <c r="G58" s="4" t="s">
        <v>25</v>
      </c>
      <c r="H58" s="4" t="s">
        <v>25</v>
      </c>
      <c r="I58" s="5">
        <v>44593</v>
      </c>
      <c r="J58" s="6">
        <v>0</v>
      </c>
      <c r="K58" s="6">
        <v>0</v>
      </c>
      <c r="L58" s="6">
        <v>1.113</v>
      </c>
      <c r="M58" s="6">
        <v>1.113</v>
      </c>
      <c r="N58" s="6">
        <v>1.113</v>
      </c>
      <c r="O58" s="6">
        <v>1.113</v>
      </c>
      <c r="P58" s="6">
        <v>3</v>
      </c>
      <c r="Q58" s="4" t="s">
        <v>26</v>
      </c>
      <c r="R58" s="4">
        <v>0</v>
      </c>
      <c r="S58" s="4" t="s">
        <v>127</v>
      </c>
      <c r="T58" s="4" t="s">
        <v>217</v>
      </c>
      <c r="U58" s="4">
        <v>0</v>
      </c>
      <c r="V58" s="4">
        <v>37</v>
      </c>
      <c r="W58" s="4">
        <v>62</v>
      </c>
    </row>
    <row r="59" spans="1:23" ht="11.25" customHeight="1" x14ac:dyDescent="0.25">
      <c r="A59" s="4" t="s">
        <v>21</v>
      </c>
      <c r="B59" s="4" t="s">
        <v>22</v>
      </c>
      <c r="C59" s="4" t="s">
        <v>23</v>
      </c>
      <c r="D59" s="4" t="s">
        <v>24</v>
      </c>
      <c r="E59" s="4" t="s">
        <v>40</v>
      </c>
      <c r="F59" s="4" t="s">
        <v>25</v>
      </c>
      <c r="G59" s="4" t="s">
        <v>25</v>
      </c>
      <c r="H59" s="4" t="s">
        <v>25</v>
      </c>
      <c r="I59" s="5">
        <v>44621</v>
      </c>
      <c r="J59" s="6">
        <v>0</v>
      </c>
      <c r="K59" s="6">
        <v>0</v>
      </c>
      <c r="L59" s="6">
        <v>4.9450000000000003</v>
      </c>
      <c r="M59" s="6">
        <v>4.9450000000000003</v>
      </c>
      <c r="N59" s="6">
        <v>4.9450000000000003</v>
      </c>
      <c r="O59" s="6">
        <v>4.9450000000000003</v>
      </c>
      <c r="P59" s="6">
        <v>16</v>
      </c>
      <c r="Q59" s="4" t="s">
        <v>26</v>
      </c>
      <c r="R59" s="4">
        <v>0</v>
      </c>
      <c r="S59" s="4" t="s">
        <v>128</v>
      </c>
      <c r="T59" s="4" t="s">
        <v>218</v>
      </c>
      <c r="U59" s="4">
        <v>0</v>
      </c>
      <c r="V59" s="4">
        <v>37</v>
      </c>
      <c r="W59" s="4">
        <v>62</v>
      </c>
    </row>
    <row r="60" spans="1:23" ht="11.25" customHeight="1" x14ac:dyDescent="0.25">
      <c r="A60" s="4" t="s">
        <v>21</v>
      </c>
      <c r="B60" s="4" t="s">
        <v>22</v>
      </c>
      <c r="C60" s="4" t="s">
        <v>23</v>
      </c>
      <c r="D60" s="4" t="s">
        <v>24</v>
      </c>
      <c r="E60" s="4" t="s">
        <v>40</v>
      </c>
      <c r="F60" s="4" t="s">
        <v>25</v>
      </c>
      <c r="G60" s="4" t="s">
        <v>25</v>
      </c>
      <c r="H60" s="4" t="s">
        <v>25</v>
      </c>
      <c r="I60" s="5">
        <v>44652</v>
      </c>
      <c r="J60" s="6">
        <v>0</v>
      </c>
      <c r="K60" s="6">
        <v>0</v>
      </c>
      <c r="L60" s="6">
        <v>7.3570000000000002</v>
      </c>
      <c r="M60" s="6">
        <v>7.3570000000000002</v>
      </c>
      <c r="N60" s="6">
        <v>7.3570000000000002</v>
      </c>
      <c r="O60" s="6">
        <v>7.3570000000000002</v>
      </c>
      <c r="P60" s="6">
        <v>24</v>
      </c>
      <c r="Q60" s="4" t="s">
        <v>26</v>
      </c>
      <c r="R60" s="4">
        <v>0</v>
      </c>
      <c r="S60" s="4" t="s">
        <v>129</v>
      </c>
      <c r="T60" s="4" t="s">
        <v>219</v>
      </c>
      <c r="U60" s="4">
        <v>0</v>
      </c>
      <c r="V60" s="4">
        <v>37</v>
      </c>
      <c r="W60" s="4">
        <v>62</v>
      </c>
    </row>
    <row r="61" spans="1:23" ht="11.25" customHeight="1" x14ac:dyDescent="0.25">
      <c r="A61" s="4" t="s">
        <v>21</v>
      </c>
      <c r="B61" s="4" t="s">
        <v>22</v>
      </c>
      <c r="C61" s="4" t="s">
        <v>23</v>
      </c>
      <c r="D61" s="4" t="s">
        <v>24</v>
      </c>
      <c r="E61" s="4" t="s">
        <v>40</v>
      </c>
      <c r="F61" s="4" t="s">
        <v>25</v>
      </c>
      <c r="G61" s="4" t="s">
        <v>25</v>
      </c>
      <c r="H61" s="4" t="s">
        <v>25</v>
      </c>
      <c r="I61" s="5">
        <v>44682</v>
      </c>
      <c r="J61" s="6">
        <v>0</v>
      </c>
      <c r="K61" s="6">
        <v>0</v>
      </c>
      <c r="L61" s="6">
        <v>6.5419999999999998</v>
      </c>
      <c r="M61" s="6">
        <v>6.5419999999999998</v>
      </c>
      <c r="N61" s="6">
        <v>6.5419999999999998</v>
      </c>
      <c r="O61" s="6">
        <v>6.5419999999999998</v>
      </c>
      <c r="P61" s="6">
        <v>22</v>
      </c>
      <c r="Q61" s="4" t="s">
        <v>26</v>
      </c>
      <c r="R61" s="4">
        <v>0</v>
      </c>
      <c r="S61" s="4" t="s">
        <v>130</v>
      </c>
      <c r="T61" s="4" t="s">
        <v>220</v>
      </c>
      <c r="U61" s="4">
        <v>0</v>
      </c>
      <c r="V61" s="4">
        <v>37</v>
      </c>
      <c r="W61" s="4">
        <v>62</v>
      </c>
    </row>
    <row r="62" spans="1:23" ht="11.25" customHeight="1" x14ac:dyDescent="0.25">
      <c r="A62" s="4" t="s">
        <v>21</v>
      </c>
      <c r="B62" s="4" t="s">
        <v>22</v>
      </c>
      <c r="C62" s="4" t="s">
        <v>23</v>
      </c>
      <c r="D62" s="4" t="s">
        <v>24</v>
      </c>
      <c r="E62" s="4" t="s">
        <v>40</v>
      </c>
      <c r="F62" s="4" t="s">
        <v>25</v>
      </c>
      <c r="G62" s="4" t="s">
        <v>25</v>
      </c>
      <c r="H62" s="4" t="s">
        <v>25</v>
      </c>
      <c r="I62" s="5">
        <v>44713</v>
      </c>
      <c r="J62" s="6">
        <v>0</v>
      </c>
      <c r="K62" s="6">
        <v>0</v>
      </c>
      <c r="L62" s="6">
        <v>10.398</v>
      </c>
      <c r="M62" s="6">
        <v>10.398</v>
      </c>
      <c r="N62" s="6">
        <v>10.398</v>
      </c>
      <c r="O62" s="6">
        <v>10.398</v>
      </c>
      <c r="P62" s="6">
        <v>33</v>
      </c>
      <c r="Q62" s="4" t="s">
        <v>26</v>
      </c>
      <c r="R62" s="4">
        <v>0</v>
      </c>
      <c r="S62" s="4" t="s">
        <v>131</v>
      </c>
      <c r="T62" s="4" t="s">
        <v>221</v>
      </c>
      <c r="U62" s="4">
        <v>0</v>
      </c>
      <c r="V62" s="4">
        <v>37</v>
      </c>
      <c r="W62" s="4">
        <v>62</v>
      </c>
    </row>
    <row r="63" spans="1:23" ht="11.25" customHeight="1" x14ac:dyDescent="0.25">
      <c r="A63" s="4" t="s">
        <v>21</v>
      </c>
      <c r="B63" s="4" t="s">
        <v>22</v>
      </c>
      <c r="C63" s="4" t="s">
        <v>23</v>
      </c>
      <c r="D63" s="4" t="s">
        <v>24</v>
      </c>
      <c r="E63" s="4" t="s">
        <v>40</v>
      </c>
      <c r="F63" s="4" t="s">
        <v>25</v>
      </c>
      <c r="G63" s="4" t="s">
        <v>25</v>
      </c>
      <c r="H63" s="4" t="s">
        <v>25</v>
      </c>
      <c r="I63" s="5">
        <v>44743</v>
      </c>
      <c r="J63" s="6">
        <v>0</v>
      </c>
      <c r="K63" s="6">
        <v>0</v>
      </c>
      <c r="L63" s="6">
        <v>12.074999999999999</v>
      </c>
      <c r="M63" s="6">
        <v>12.074999999999999</v>
      </c>
      <c r="N63" s="6">
        <v>12.074999999999999</v>
      </c>
      <c r="O63" s="6">
        <v>12.074999999999999</v>
      </c>
      <c r="P63" s="6">
        <v>35</v>
      </c>
      <c r="Q63" s="4" t="s">
        <v>26</v>
      </c>
      <c r="R63" s="4">
        <v>0</v>
      </c>
      <c r="S63" s="4" t="s">
        <v>132</v>
      </c>
      <c r="T63" s="4" t="s">
        <v>222</v>
      </c>
      <c r="U63" s="4">
        <v>0</v>
      </c>
      <c r="V63" s="4">
        <v>37</v>
      </c>
      <c r="W63" s="4">
        <v>62</v>
      </c>
    </row>
    <row r="64" spans="1:23" ht="11.25" customHeight="1" x14ac:dyDescent="0.25">
      <c r="A64" s="4" t="s">
        <v>21</v>
      </c>
      <c r="B64" s="4" t="s">
        <v>22</v>
      </c>
      <c r="C64" s="4" t="s">
        <v>23</v>
      </c>
      <c r="D64" s="4" t="s">
        <v>24</v>
      </c>
      <c r="E64" s="4" t="s">
        <v>40</v>
      </c>
      <c r="F64" s="4" t="s">
        <v>25</v>
      </c>
      <c r="G64" s="4" t="s">
        <v>25</v>
      </c>
      <c r="H64" s="4" t="s">
        <v>25</v>
      </c>
      <c r="I64" s="5">
        <v>44774</v>
      </c>
      <c r="J64" s="6">
        <v>0</v>
      </c>
      <c r="K64" s="6">
        <v>0</v>
      </c>
      <c r="L64" s="6">
        <v>12.263</v>
      </c>
      <c r="M64" s="6">
        <v>12.263</v>
      </c>
      <c r="N64" s="6">
        <v>12.263</v>
      </c>
      <c r="O64" s="6">
        <v>12.263</v>
      </c>
      <c r="P64" s="6">
        <v>41</v>
      </c>
      <c r="Q64" s="4" t="s">
        <v>26</v>
      </c>
      <c r="R64" s="4">
        <v>0</v>
      </c>
      <c r="S64" s="4" t="s">
        <v>133</v>
      </c>
      <c r="T64" s="4" t="s">
        <v>223</v>
      </c>
      <c r="U64" s="4">
        <v>0</v>
      </c>
      <c r="V64" s="4">
        <v>37</v>
      </c>
      <c r="W64" s="4">
        <v>62</v>
      </c>
    </row>
    <row r="65" spans="1:23" ht="11.25" customHeight="1" x14ac:dyDescent="0.25">
      <c r="A65" s="4" t="s">
        <v>21</v>
      </c>
      <c r="B65" s="4" t="s">
        <v>22</v>
      </c>
      <c r="C65" s="4" t="s">
        <v>23</v>
      </c>
      <c r="D65" s="4" t="s">
        <v>24</v>
      </c>
      <c r="E65" s="4" t="s">
        <v>40</v>
      </c>
      <c r="F65" s="4" t="s">
        <v>25</v>
      </c>
      <c r="G65" s="4" t="s">
        <v>25</v>
      </c>
      <c r="H65" s="4" t="s">
        <v>25</v>
      </c>
      <c r="I65" s="5">
        <v>44805</v>
      </c>
      <c r="J65" s="6">
        <v>0</v>
      </c>
      <c r="K65" s="6">
        <v>0</v>
      </c>
      <c r="L65" s="6">
        <v>10.863</v>
      </c>
      <c r="M65" s="6">
        <v>10.863</v>
      </c>
      <c r="N65" s="6">
        <v>10.863</v>
      </c>
      <c r="O65" s="6">
        <v>10.863</v>
      </c>
      <c r="P65" s="6">
        <v>35</v>
      </c>
      <c r="Q65" s="4" t="s">
        <v>26</v>
      </c>
      <c r="R65" s="4">
        <v>0</v>
      </c>
      <c r="S65" s="4" t="s">
        <v>134</v>
      </c>
      <c r="T65" s="4" t="s">
        <v>224</v>
      </c>
      <c r="U65" s="4">
        <v>0</v>
      </c>
      <c r="V65" s="4">
        <v>37</v>
      </c>
      <c r="W65" s="4">
        <v>62</v>
      </c>
    </row>
    <row r="66" spans="1:23" ht="11.25" customHeight="1" x14ac:dyDescent="0.25">
      <c r="A66" s="4" t="s">
        <v>21</v>
      </c>
      <c r="B66" s="4" t="s">
        <v>22</v>
      </c>
      <c r="C66" s="4" t="s">
        <v>23</v>
      </c>
      <c r="D66" s="4" t="s">
        <v>24</v>
      </c>
      <c r="E66" s="4" t="s">
        <v>40</v>
      </c>
      <c r="F66" s="4" t="s">
        <v>25</v>
      </c>
      <c r="G66" s="4" t="s">
        <v>25</v>
      </c>
      <c r="H66" s="4" t="s">
        <v>25</v>
      </c>
      <c r="I66" s="5">
        <v>44835</v>
      </c>
      <c r="J66" s="6">
        <v>0</v>
      </c>
      <c r="K66" s="6">
        <v>0</v>
      </c>
      <c r="L66" s="6">
        <v>13.429</v>
      </c>
      <c r="M66" s="6">
        <v>13.429</v>
      </c>
      <c r="N66" s="6">
        <v>13.429</v>
      </c>
      <c r="O66" s="6">
        <v>13.429</v>
      </c>
      <c r="P66" s="6">
        <v>46</v>
      </c>
      <c r="Q66" s="4" t="s">
        <v>26</v>
      </c>
      <c r="R66" s="4">
        <v>0</v>
      </c>
      <c r="S66" s="4" t="s">
        <v>135</v>
      </c>
      <c r="T66" s="4" t="s">
        <v>225</v>
      </c>
      <c r="U66" s="4">
        <v>0</v>
      </c>
      <c r="V66" s="4">
        <v>37</v>
      </c>
      <c r="W66" s="4">
        <v>62</v>
      </c>
    </row>
    <row r="67" spans="1:23" ht="11.25" customHeight="1" x14ac:dyDescent="0.25">
      <c r="A67" s="4" t="s">
        <v>21</v>
      </c>
      <c r="B67" s="4" t="s">
        <v>31</v>
      </c>
      <c r="C67" s="4" t="s">
        <v>23</v>
      </c>
      <c r="D67" s="4" t="s">
        <v>32</v>
      </c>
      <c r="E67" s="4" t="s">
        <v>25</v>
      </c>
      <c r="F67" s="4" t="s">
        <v>25</v>
      </c>
      <c r="G67" s="4" t="s">
        <v>25</v>
      </c>
      <c r="H67" s="4" t="s">
        <v>25</v>
      </c>
      <c r="I67" s="5">
        <v>44501</v>
      </c>
      <c r="J67" s="6">
        <v>0</v>
      </c>
      <c r="K67" s="6">
        <v>0</v>
      </c>
      <c r="L67" s="6">
        <v>469.49200000000002</v>
      </c>
      <c r="M67" s="6">
        <v>469.49200000000002</v>
      </c>
      <c r="N67" s="6">
        <v>469.49200000000002</v>
      </c>
      <c r="O67" s="6">
        <v>469.49200000000002</v>
      </c>
      <c r="P67" s="6">
        <v>1509</v>
      </c>
      <c r="Q67" s="4" t="s">
        <v>26</v>
      </c>
      <c r="R67" s="4">
        <v>0</v>
      </c>
      <c r="S67" s="4" t="s">
        <v>136</v>
      </c>
      <c r="T67" s="4" t="s">
        <v>226</v>
      </c>
      <c r="U67" s="4">
        <v>0</v>
      </c>
      <c r="V67" s="4">
        <v>41</v>
      </c>
      <c r="W67" s="4">
        <v>39</v>
      </c>
    </row>
    <row r="68" spans="1:23" ht="11.25" customHeight="1" x14ac:dyDescent="0.25">
      <c r="A68" s="4" t="s">
        <v>27</v>
      </c>
      <c r="B68" s="4" t="s">
        <v>31</v>
      </c>
      <c r="C68" s="4" t="s">
        <v>23</v>
      </c>
      <c r="D68" s="4" t="s">
        <v>32</v>
      </c>
      <c r="E68" s="4" t="s">
        <v>25</v>
      </c>
      <c r="F68" s="4" t="s">
        <v>25</v>
      </c>
      <c r="G68" s="4" t="s">
        <v>25</v>
      </c>
      <c r="H68" s="4" t="s">
        <v>25</v>
      </c>
      <c r="I68" s="5">
        <v>44501</v>
      </c>
      <c r="J68" s="6">
        <v>0</v>
      </c>
      <c r="K68" s="6">
        <v>0</v>
      </c>
      <c r="L68" s="6">
        <v>37.396999999999998</v>
      </c>
      <c r="M68" s="6">
        <v>37.396999999999998</v>
      </c>
      <c r="N68" s="6">
        <v>37.396999999999998</v>
      </c>
      <c r="O68" s="6">
        <v>37.396999999999998</v>
      </c>
      <c r="P68" s="6">
        <v>37</v>
      </c>
      <c r="Q68" s="4" t="s">
        <v>26</v>
      </c>
      <c r="R68" s="4">
        <v>0</v>
      </c>
      <c r="S68" s="4" t="s">
        <v>136</v>
      </c>
      <c r="T68" s="4" t="s">
        <v>226</v>
      </c>
      <c r="U68" s="4">
        <v>0</v>
      </c>
      <c r="V68" s="4">
        <v>41</v>
      </c>
      <c r="W68" s="4">
        <v>39</v>
      </c>
    </row>
    <row r="69" spans="1:23" ht="11.25" customHeight="1" x14ac:dyDescent="0.25">
      <c r="A69" s="4" t="s">
        <v>21</v>
      </c>
      <c r="B69" s="4" t="s">
        <v>31</v>
      </c>
      <c r="C69" s="4" t="s">
        <v>23</v>
      </c>
      <c r="D69" s="4" t="s">
        <v>32</v>
      </c>
      <c r="E69" s="4" t="s">
        <v>25</v>
      </c>
      <c r="F69" s="4" t="s">
        <v>25</v>
      </c>
      <c r="G69" s="4" t="s">
        <v>25</v>
      </c>
      <c r="H69" s="4" t="s">
        <v>25</v>
      </c>
      <c r="I69" s="5">
        <v>44531</v>
      </c>
      <c r="J69" s="6">
        <v>0</v>
      </c>
      <c r="K69" s="6">
        <v>0</v>
      </c>
      <c r="L69" s="6">
        <v>452.55099999999999</v>
      </c>
      <c r="M69" s="6">
        <v>452.55099999999999</v>
      </c>
      <c r="N69" s="6">
        <v>452.55099999999999</v>
      </c>
      <c r="O69" s="6">
        <v>452.55099999999999</v>
      </c>
      <c r="P69" s="6">
        <v>1500</v>
      </c>
      <c r="Q69" s="4" t="s">
        <v>26</v>
      </c>
      <c r="R69" s="4">
        <v>0</v>
      </c>
      <c r="S69" s="4" t="s">
        <v>137</v>
      </c>
      <c r="T69" s="4" t="s">
        <v>227</v>
      </c>
      <c r="U69" s="4">
        <v>0</v>
      </c>
      <c r="V69" s="4">
        <v>41</v>
      </c>
      <c r="W69" s="4">
        <v>39</v>
      </c>
    </row>
    <row r="70" spans="1:23" ht="11.25" customHeight="1" x14ac:dyDescent="0.25">
      <c r="A70" s="4" t="s">
        <v>27</v>
      </c>
      <c r="B70" s="4" t="s">
        <v>31</v>
      </c>
      <c r="C70" s="4" t="s">
        <v>23</v>
      </c>
      <c r="D70" s="4" t="s">
        <v>32</v>
      </c>
      <c r="E70" s="4" t="s">
        <v>25</v>
      </c>
      <c r="F70" s="4" t="s">
        <v>25</v>
      </c>
      <c r="G70" s="4" t="s">
        <v>25</v>
      </c>
      <c r="H70" s="4" t="s">
        <v>25</v>
      </c>
      <c r="I70" s="5">
        <v>44531</v>
      </c>
      <c r="J70" s="6">
        <v>0</v>
      </c>
      <c r="K70" s="6">
        <v>0</v>
      </c>
      <c r="L70" s="6">
        <v>38.174999999999997</v>
      </c>
      <c r="M70" s="6">
        <v>38.174999999999997</v>
      </c>
      <c r="N70" s="6">
        <v>38.174999999999997</v>
      </c>
      <c r="O70" s="6">
        <v>38.174999999999997</v>
      </c>
      <c r="P70" s="6">
        <v>41</v>
      </c>
      <c r="Q70" s="4" t="s">
        <v>26</v>
      </c>
      <c r="R70" s="4">
        <v>0</v>
      </c>
      <c r="S70" s="4" t="s">
        <v>137</v>
      </c>
      <c r="T70" s="4" t="s">
        <v>227</v>
      </c>
      <c r="U70" s="4">
        <v>0</v>
      </c>
      <c r="V70" s="4">
        <v>41</v>
      </c>
      <c r="W70" s="4">
        <v>39</v>
      </c>
    </row>
    <row r="71" spans="1:23" ht="11.25" customHeight="1" x14ac:dyDescent="0.25">
      <c r="A71" s="4" t="s">
        <v>21</v>
      </c>
      <c r="B71" s="4" t="s">
        <v>31</v>
      </c>
      <c r="C71" s="4" t="s">
        <v>23</v>
      </c>
      <c r="D71" s="4" t="s">
        <v>32</v>
      </c>
      <c r="E71" s="4" t="s">
        <v>25</v>
      </c>
      <c r="F71" s="4" t="s">
        <v>25</v>
      </c>
      <c r="G71" s="4" t="s">
        <v>25</v>
      </c>
      <c r="H71" s="4" t="s">
        <v>25</v>
      </c>
      <c r="I71" s="5">
        <v>44562</v>
      </c>
      <c r="J71" s="6">
        <v>0</v>
      </c>
      <c r="K71" s="6">
        <v>0</v>
      </c>
      <c r="L71" s="6">
        <v>526.09400000000005</v>
      </c>
      <c r="M71" s="6">
        <v>526.09400000000005</v>
      </c>
      <c r="N71" s="6">
        <v>526.09400000000005</v>
      </c>
      <c r="O71" s="6">
        <v>526.09400000000005</v>
      </c>
      <c r="P71" s="6">
        <v>1497</v>
      </c>
      <c r="Q71" s="4" t="s">
        <v>26</v>
      </c>
      <c r="R71" s="4">
        <v>0</v>
      </c>
      <c r="S71" s="4" t="s">
        <v>138</v>
      </c>
      <c r="T71" s="4" t="s">
        <v>228</v>
      </c>
      <c r="U71" s="4">
        <v>0</v>
      </c>
      <c r="V71" s="4">
        <v>41</v>
      </c>
      <c r="W71" s="4">
        <v>39</v>
      </c>
    </row>
    <row r="72" spans="1:23" ht="11.25" customHeight="1" x14ac:dyDescent="0.25">
      <c r="A72" s="4" t="s">
        <v>27</v>
      </c>
      <c r="B72" s="4" t="s">
        <v>31</v>
      </c>
      <c r="C72" s="4" t="s">
        <v>23</v>
      </c>
      <c r="D72" s="4" t="s">
        <v>32</v>
      </c>
      <c r="E72" s="4" t="s">
        <v>25</v>
      </c>
      <c r="F72" s="4" t="s">
        <v>25</v>
      </c>
      <c r="G72" s="4" t="s">
        <v>25</v>
      </c>
      <c r="H72" s="4" t="s">
        <v>25</v>
      </c>
      <c r="I72" s="5">
        <v>44562</v>
      </c>
      <c r="J72" s="6">
        <v>0</v>
      </c>
      <c r="K72" s="6">
        <v>0</v>
      </c>
      <c r="L72" s="6">
        <v>37.558999999999997</v>
      </c>
      <c r="M72" s="6">
        <v>37.558999999999997</v>
      </c>
      <c r="N72" s="6">
        <v>37.558999999999997</v>
      </c>
      <c r="O72" s="6">
        <v>37.558999999999997</v>
      </c>
      <c r="P72" s="6">
        <v>43</v>
      </c>
      <c r="Q72" s="4" t="s">
        <v>26</v>
      </c>
      <c r="R72" s="4">
        <v>0</v>
      </c>
      <c r="S72" s="4" t="s">
        <v>138</v>
      </c>
      <c r="T72" s="4" t="s">
        <v>228</v>
      </c>
      <c r="U72" s="4">
        <v>0</v>
      </c>
      <c r="V72" s="4">
        <v>41</v>
      </c>
      <c r="W72" s="4">
        <v>39</v>
      </c>
    </row>
    <row r="73" spans="1:23" ht="11.25" customHeight="1" x14ac:dyDescent="0.25">
      <c r="A73" s="4" t="s">
        <v>21</v>
      </c>
      <c r="B73" s="4" t="s">
        <v>31</v>
      </c>
      <c r="C73" s="4" t="s">
        <v>23</v>
      </c>
      <c r="D73" s="4" t="s">
        <v>32</v>
      </c>
      <c r="E73" s="4" t="s">
        <v>25</v>
      </c>
      <c r="F73" s="4" t="s">
        <v>25</v>
      </c>
      <c r="G73" s="4" t="s">
        <v>25</v>
      </c>
      <c r="H73" s="4" t="s">
        <v>25</v>
      </c>
      <c r="I73" s="5">
        <v>44593</v>
      </c>
      <c r="J73" s="6">
        <v>0</v>
      </c>
      <c r="K73" s="6">
        <v>0</v>
      </c>
      <c r="L73" s="6">
        <v>526.80399999999997</v>
      </c>
      <c r="M73" s="6">
        <v>526.80399999999997</v>
      </c>
      <c r="N73" s="6">
        <v>526.80399999999997</v>
      </c>
      <c r="O73" s="6">
        <v>526.80399999999997</v>
      </c>
      <c r="P73" s="6">
        <v>1496</v>
      </c>
      <c r="Q73" s="4" t="s">
        <v>26</v>
      </c>
      <c r="R73" s="4">
        <v>0</v>
      </c>
      <c r="S73" s="4" t="s">
        <v>139</v>
      </c>
      <c r="T73" s="4" t="s">
        <v>229</v>
      </c>
      <c r="U73" s="4">
        <v>0</v>
      </c>
      <c r="V73" s="4">
        <v>41</v>
      </c>
      <c r="W73" s="4">
        <v>39</v>
      </c>
    </row>
    <row r="74" spans="1:23" ht="11.25" customHeight="1" x14ac:dyDescent="0.25">
      <c r="A74" s="4" t="s">
        <v>27</v>
      </c>
      <c r="B74" s="4" t="s">
        <v>31</v>
      </c>
      <c r="C74" s="4" t="s">
        <v>23</v>
      </c>
      <c r="D74" s="4" t="s">
        <v>32</v>
      </c>
      <c r="E74" s="4" t="s">
        <v>25</v>
      </c>
      <c r="F74" s="4" t="s">
        <v>25</v>
      </c>
      <c r="G74" s="4" t="s">
        <v>25</v>
      </c>
      <c r="H74" s="4" t="s">
        <v>25</v>
      </c>
      <c r="I74" s="5">
        <v>44593</v>
      </c>
      <c r="J74" s="6">
        <v>0</v>
      </c>
      <c r="K74" s="6">
        <v>0</v>
      </c>
      <c r="L74" s="6">
        <v>44.088999999999999</v>
      </c>
      <c r="M74" s="6">
        <v>44.088999999999999</v>
      </c>
      <c r="N74" s="6">
        <v>44.088999999999999</v>
      </c>
      <c r="O74" s="6">
        <v>44.088999999999999</v>
      </c>
      <c r="P74" s="6">
        <v>45</v>
      </c>
      <c r="Q74" s="4" t="s">
        <v>26</v>
      </c>
      <c r="R74" s="4">
        <v>0</v>
      </c>
      <c r="S74" s="4" t="s">
        <v>139</v>
      </c>
      <c r="T74" s="4" t="s">
        <v>229</v>
      </c>
      <c r="U74" s="4">
        <v>0</v>
      </c>
      <c r="V74" s="4">
        <v>41</v>
      </c>
      <c r="W74" s="4">
        <v>39</v>
      </c>
    </row>
    <row r="75" spans="1:23" ht="11.25" customHeight="1" x14ac:dyDescent="0.25">
      <c r="A75" s="4" t="s">
        <v>21</v>
      </c>
      <c r="B75" s="4" t="s">
        <v>31</v>
      </c>
      <c r="C75" s="4" t="s">
        <v>23</v>
      </c>
      <c r="D75" s="4" t="s">
        <v>32</v>
      </c>
      <c r="E75" s="4" t="s">
        <v>25</v>
      </c>
      <c r="F75" s="4" t="s">
        <v>25</v>
      </c>
      <c r="G75" s="4" t="s">
        <v>25</v>
      </c>
      <c r="H75" s="4" t="s">
        <v>25</v>
      </c>
      <c r="I75" s="5">
        <v>44621</v>
      </c>
      <c r="J75" s="6">
        <v>0</v>
      </c>
      <c r="K75" s="6">
        <v>0</v>
      </c>
      <c r="L75" s="6">
        <v>514.68700000000001</v>
      </c>
      <c r="M75" s="6">
        <v>514.68700000000001</v>
      </c>
      <c r="N75" s="6">
        <v>514.68700000000001</v>
      </c>
      <c r="O75" s="6">
        <v>514.68700000000001</v>
      </c>
      <c r="P75" s="6">
        <v>1472</v>
      </c>
      <c r="Q75" s="4" t="s">
        <v>26</v>
      </c>
      <c r="R75" s="4">
        <v>0</v>
      </c>
      <c r="S75" s="4" t="s">
        <v>140</v>
      </c>
      <c r="T75" s="4" t="s">
        <v>230</v>
      </c>
      <c r="U75" s="4">
        <v>0</v>
      </c>
      <c r="V75" s="4">
        <v>41</v>
      </c>
      <c r="W75" s="4">
        <v>39</v>
      </c>
    </row>
    <row r="76" spans="1:23" ht="11.25" customHeight="1" x14ac:dyDescent="0.25">
      <c r="A76" s="4" t="s">
        <v>27</v>
      </c>
      <c r="B76" s="4" t="s">
        <v>31</v>
      </c>
      <c r="C76" s="4" t="s">
        <v>23</v>
      </c>
      <c r="D76" s="4" t="s">
        <v>32</v>
      </c>
      <c r="E76" s="4" t="s">
        <v>25</v>
      </c>
      <c r="F76" s="4" t="s">
        <v>25</v>
      </c>
      <c r="G76" s="4" t="s">
        <v>25</v>
      </c>
      <c r="H76" s="4" t="s">
        <v>25</v>
      </c>
      <c r="I76" s="5">
        <v>44621</v>
      </c>
      <c r="J76" s="6">
        <v>0</v>
      </c>
      <c r="K76" s="6">
        <v>0</v>
      </c>
      <c r="L76" s="6">
        <v>45.033999999999999</v>
      </c>
      <c r="M76" s="6">
        <v>45.033999999999999</v>
      </c>
      <c r="N76" s="6">
        <v>45.033999999999999</v>
      </c>
      <c r="O76" s="6">
        <v>45.033999999999999</v>
      </c>
      <c r="P76" s="6">
        <v>50</v>
      </c>
      <c r="Q76" s="4" t="s">
        <v>26</v>
      </c>
      <c r="R76" s="4">
        <v>0</v>
      </c>
      <c r="S76" s="4" t="s">
        <v>140</v>
      </c>
      <c r="T76" s="4" t="s">
        <v>230</v>
      </c>
      <c r="U76" s="4">
        <v>0</v>
      </c>
      <c r="V76" s="4">
        <v>41</v>
      </c>
      <c r="W76" s="4">
        <v>39</v>
      </c>
    </row>
    <row r="77" spans="1:23" ht="11.25" customHeight="1" x14ac:dyDescent="0.25">
      <c r="A77" s="4" t="s">
        <v>21</v>
      </c>
      <c r="B77" s="4" t="s">
        <v>31</v>
      </c>
      <c r="C77" s="4" t="s">
        <v>23</v>
      </c>
      <c r="D77" s="4" t="s">
        <v>32</v>
      </c>
      <c r="E77" s="4" t="s">
        <v>25</v>
      </c>
      <c r="F77" s="4" t="s">
        <v>25</v>
      </c>
      <c r="G77" s="4" t="s">
        <v>25</v>
      </c>
      <c r="H77" s="4" t="s">
        <v>25</v>
      </c>
      <c r="I77" s="5">
        <v>44652</v>
      </c>
      <c r="J77" s="6">
        <v>0</v>
      </c>
      <c r="K77" s="6">
        <v>0</v>
      </c>
      <c r="L77" s="6">
        <v>459.70800000000003</v>
      </c>
      <c r="M77" s="6">
        <v>459.70800000000003</v>
      </c>
      <c r="N77" s="6">
        <v>459.70800000000003</v>
      </c>
      <c r="O77" s="6">
        <v>459.70800000000003</v>
      </c>
      <c r="P77" s="6">
        <v>1423</v>
      </c>
      <c r="Q77" s="4" t="s">
        <v>26</v>
      </c>
      <c r="R77" s="4">
        <v>0</v>
      </c>
      <c r="S77" s="4" t="s">
        <v>141</v>
      </c>
      <c r="T77" s="4" t="s">
        <v>231</v>
      </c>
      <c r="U77" s="4">
        <v>0</v>
      </c>
      <c r="V77" s="4">
        <v>41</v>
      </c>
      <c r="W77" s="4">
        <v>39</v>
      </c>
    </row>
    <row r="78" spans="1:23" ht="11.25" customHeight="1" x14ac:dyDescent="0.25">
      <c r="A78" s="4" t="s">
        <v>27</v>
      </c>
      <c r="B78" s="4" t="s">
        <v>31</v>
      </c>
      <c r="C78" s="4" t="s">
        <v>23</v>
      </c>
      <c r="D78" s="4" t="s">
        <v>32</v>
      </c>
      <c r="E78" s="4" t="s">
        <v>25</v>
      </c>
      <c r="F78" s="4" t="s">
        <v>25</v>
      </c>
      <c r="G78" s="4" t="s">
        <v>25</v>
      </c>
      <c r="H78" s="4" t="s">
        <v>25</v>
      </c>
      <c r="I78" s="5">
        <v>44652</v>
      </c>
      <c r="J78" s="6">
        <v>0</v>
      </c>
      <c r="K78" s="6">
        <v>0</v>
      </c>
      <c r="L78" s="6">
        <v>40.585999999999999</v>
      </c>
      <c r="M78" s="6">
        <v>40.585999999999999</v>
      </c>
      <c r="N78" s="6">
        <v>40.585999999999999</v>
      </c>
      <c r="O78" s="6">
        <v>40.585999999999999</v>
      </c>
      <c r="P78" s="6">
        <v>53</v>
      </c>
      <c r="Q78" s="4" t="s">
        <v>26</v>
      </c>
      <c r="R78" s="4">
        <v>0</v>
      </c>
      <c r="S78" s="4" t="s">
        <v>141</v>
      </c>
      <c r="T78" s="4" t="s">
        <v>231</v>
      </c>
      <c r="U78" s="4">
        <v>0</v>
      </c>
      <c r="V78" s="4">
        <v>41</v>
      </c>
      <c r="W78" s="4">
        <v>39</v>
      </c>
    </row>
    <row r="79" spans="1:23" ht="11.25" customHeight="1" x14ac:dyDescent="0.25">
      <c r="A79" s="4" t="s">
        <v>21</v>
      </c>
      <c r="B79" s="4" t="s">
        <v>31</v>
      </c>
      <c r="C79" s="4" t="s">
        <v>23</v>
      </c>
      <c r="D79" s="4" t="s">
        <v>32</v>
      </c>
      <c r="E79" s="4" t="s">
        <v>25</v>
      </c>
      <c r="F79" s="4" t="s">
        <v>25</v>
      </c>
      <c r="G79" s="4" t="s">
        <v>25</v>
      </c>
      <c r="H79" s="4" t="s">
        <v>25</v>
      </c>
      <c r="I79" s="5">
        <v>44682</v>
      </c>
      <c r="J79" s="6">
        <v>0</v>
      </c>
      <c r="K79" s="6">
        <v>0</v>
      </c>
      <c r="L79" s="6">
        <v>425.97399999999999</v>
      </c>
      <c r="M79" s="6">
        <v>425.97399999999999</v>
      </c>
      <c r="N79" s="6">
        <v>425.97399999999999</v>
      </c>
      <c r="O79" s="6">
        <v>425.97399999999999</v>
      </c>
      <c r="P79" s="6">
        <v>1419</v>
      </c>
      <c r="Q79" s="4" t="s">
        <v>26</v>
      </c>
      <c r="R79" s="4">
        <v>0</v>
      </c>
      <c r="S79" s="4" t="s">
        <v>142</v>
      </c>
      <c r="T79" s="4" t="s">
        <v>232</v>
      </c>
      <c r="U79" s="4">
        <v>0</v>
      </c>
      <c r="V79" s="4">
        <v>41</v>
      </c>
      <c r="W79" s="4">
        <v>39</v>
      </c>
    </row>
    <row r="80" spans="1:23" ht="11.25" customHeight="1" x14ac:dyDescent="0.25">
      <c r="A80" s="4" t="s">
        <v>27</v>
      </c>
      <c r="B80" s="4" t="s">
        <v>31</v>
      </c>
      <c r="C80" s="4" t="s">
        <v>23</v>
      </c>
      <c r="D80" s="4" t="s">
        <v>32</v>
      </c>
      <c r="E80" s="4" t="s">
        <v>25</v>
      </c>
      <c r="F80" s="4" t="s">
        <v>25</v>
      </c>
      <c r="G80" s="4" t="s">
        <v>25</v>
      </c>
      <c r="H80" s="4" t="s">
        <v>25</v>
      </c>
      <c r="I80" s="5">
        <v>44682</v>
      </c>
      <c r="J80" s="6">
        <v>0</v>
      </c>
      <c r="K80" s="6">
        <v>0</v>
      </c>
      <c r="L80" s="6">
        <v>42.883000000000003</v>
      </c>
      <c r="M80" s="6">
        <v>42.883000000000003</v>
      </c>
      <c r="N80" s="6">
        <v>42.883000000000003</v>
      </c>
      <c r="O80" s="6">
        <v>42.883000000000003</v>
      </c>
      <c r="P80" s="6">
        <v>55</v>
      </c>
      <c r="Q80" s="4" t="s">
        <v>26</v>
      </c>
      <c r="R80" s="4">
        <v>0</v>
      </c>
      <c r="S80" s="4" t="s">
        <v>142</v>
      </c>
      <c r="T80" s="4" t="s">
        <v>232</v>
      </c>
      <c r="U80" s="4">
        <v>0</v>
      </c>
      <c r="V80" s="4">
        <v>41</v>
      </c>
      <c r="W80" s="4">
        <v>39</v>
      </c>
    </row>
    <row r="81" spans="1:23" ht="11.25" customHeight="1" x14ac:dyDescent="0.25">
      <c r="A81" s="4" t="s">
        <v>21</v>
      </c>
      <c r="B81" s="4" t="s">
        <v>31</v>
      </c>
      <c r="C81" s="4" t="s">
        <v>23</v>
      </c>
      <c r="D81" s="4" t="s">
        <v>32</v>
      </c>
      <c r="E81" s="4" t="s">
        <v>25</v>
      </c>
      <c r="F81" s="4" t="s">
        <v>25</v>
      </c>
      <c r="G81" s="4" t="s">
        <v>25</v>
      </c>
      <c r="H81" s="4" t="s">
        <v>25</v>
      </c>
      <c r="I81" s="5">
        <v>44713</v>
      </c>
      <c r="J81" s="6">
        <v>0</v>
      </c>
      <c r="K81" s="6">
        <v>0</v>
      </c>
      <c r="L81" s="6">
        <v>466.97800000000001</v>
      </c>
      <c r="M81" s="6">
        <v>466.97800000000001</v>
      </c>
      <c r="N81" s="6">
        <v>466.97800000000001</v>
      </c>
      <c r="O81" s="6">
        <v>466.97800000000001</v>
      </c>
      <c r="P81" s="6">
        <v>1419</v>
      </c>
      <c r="Q81" s="4" t="s">
        <v>26</v>
      </c>
      <c r="R81" s="4">
        <v>0</v>
      </c>
      <c r="S81" s="4" t="s">
        <v>143</v>
      </c>
      <c r="T81" s="4" t="s">
        <v>233</v>
      </c>
      <c r="U81" s="4">
        <v>0</v>
      </c>
      <c r="V81" s="4">
        <v>41</v>
      </c>
      <c r="W81" s="4">
        <v>39</v>
      </c>
    </row>
    <row r="82" spans="1:23" ht="11.25" customHeight="1" x14ac:dyDescent="0.25">
      <c r="A82" s="4" t="s">
        <v>27</v>
      </c>
      <c r="B82" s="4" t="s">
        <v>31</v>
      </c>
      <c r="C82" s="4" t="s">
        <v>23</v>
      </c>
      <c r="D82" s="4" t="s">
        <v>32</v>
      </c>
      <c r="E82" s="4" t="s">
        <v>25</v>
      </c>
      <c r="F82" s="4" t="s">
        <v>25</v>
      </c>
      <c r="G82" s="4" t="s">
        <v>25</v>
      </c>
      <c r="H82" s="4" t="s">
        <v>25</v>
      </c>
      <c r="I82" s="5">
        <v>44713</v>
      </c>
      <c r="J82" s="6">
        <v>0</v>
      </c>
      <c r="K82" s="6">
        <v>0</v>
      </c>
      <c r="L82" s="6">
        <v>38.088999999999999</v>
      </c>
      <c r="M82" s="6">
        <v>38.088999999999999</v>
      </c>
      <c r="N82" s="6">
        <v>38.088999999999999</v>
      </c>
      <c r="O82" s="6">
        <v>38.088999999999999</v>
      </c>
      <c r="P82" s="6">
        <v>56</v>
      </c>
      <c r="Q82" s="4" t="s">
        <v>26</v>
      </c>
      <c r="R82" s="4">
        <v>0</v>
      </c>
      <c r="S82" s="4" t="s">
        <v>143</v>
      </c>
      <c r="T82" s="4" t="s">
        <v>233</v>
      </c>
      <c r="U82" s="4">
        <v>0</v>
      </c>
      <c r="V82" s="4">
        <v>41</v>
      </c>
      <c r="W82" s="4">
        <v>39</v>
      </c>
    </row>
    <row r="83" spans="1:23" ht="11.25" customHeight="1" x14ac:dyDescent="0.25">
      <c r="A83" s="4" t="s">
        <v>21</v>
      </c>
      <c r="B83" s="4" t="s">
        <v>31</v>
      </c>
      <c r="C83" s="4" t="s">
        <v>23</v>
      </c>
      <c r="D83" s="4" t="s">
        <v>32</v>
      </c>
      <c r="E83" s="4" t="s">
        <v>25</v>
      </c>
      <c r="F83" s="4" t="s">
        <v>25</v>
      </c>
      <c r="G83" s="4" t="s">
        <v>25</v>
      </c>
      <c r="H83" s="4" t="s">
        <v>25</v>
      </c>
      <c r="I83" s="5">
        <v>44743</v>
      </c>
      <c r="J83" s="6">
        <v>0</v>
      </c>
      <c r="K83" s="6">
        <v>0</v>
      </c>
      <c r="L83" s="6">
        <v>445.42899999999997</v>
      </c>
      <c r="M83" s="6">
        <v>445.42899999999997</v>
      </c>
      <c r="N83" s="6">
        <v>445.42899999999997</v>
      </c>
      <c r="O83" s="6">
        <v>445.42899999999997</v>
      </c>
      <c r="P83" s="6">
        <v>1413</v>
      </c>
      <c r="Q83" s="4" t="s">
        <v>26</v>
      </c>
      <c r="R83" s="4">
        <v>0</v>
      </c>
      <c r="S83" s="4" t="s">
        <v>144</v>
      </c>
      <c r="T83" s="4" t="s">
        <v>234</v>
      </c>
      <c r="U83" s="4">
        <v>0</v>
      </c>
      <c r="V83" s="4">
        <v>41</v>
      </c>
      <c r="W83" s="4">
        <v>39</v>
      </c>
    </row>
    <row r="84" spans="1:23" ht="11.25" customHeight="1" x14ac:dyDescent="0.25">
      <c r="A84" s="4" t="s">
        <v>27</v>
      </c>
      <c r="B84" s="4" t="s">
        <v>31</v>
      </c>
      <c r="C84" s="4" t="s">
        <v>23</v>
      </c>
      <c r="D84" s="4" t="s">
        <v>32</v>
      </c>
      <c r="E84" s="4" t="s">
        <v>25</v>
      </c>
      <c r="F84" s="4" t="s">
        <v>25</v>
      </c>
      <c r="G84" s="4" t="s">
        <v>25</v>
      </c>
      <c r="H84" s="4" t="s">
        <v>25</v>
      </c>
      <c r="I84" s="5">
        <v>44743</v>
      </c>
      <c r="J84" s="6">
        <v>0</v>
      </c>
      <c r="K84" s="6">
        <v>0</v>
      </c>
      <c r="L84" s="6">
        <v>34.158000000000001</v>
      </c>
      <c r="M84" s="6">
        <v>34.158000000000001</v>
      </c>
      <c r="N84" s="6">
        <v>34.158000000000001</v>
      </c>
      <c r="O84" s="6">
        <v>34.158000000000001</v>
      </c>
      <c r="P84" s="6">
        <v>59</v>
      </c>
      <c r="Q84" s="4" t="s">
        <v>26</v>
      </c>
      <c r="R84" s="4">
        <v>0</v>
      </c>
      <c r="S84" s="4" t="s">
        <v>144</v>
      </c>
      <c r="T84" s="4" t="s">
        <v>234</v>
      </c>
      <c r="U84" s="4">
        <v>0</v>
      </c>
      <c r="V84" s="4">
        <v>41</v>
      </c>
      <c r="W84" s="4">
        <v>39</v>
      </c>
    </row>
    <row r="85" spans="1:23" ht="11.25" customHeight="1" x14ac:dyDescent="0.25">
      <c r="A85" s="4" t="s">
        <v>21</v>
      </c>
      <c r="B85" s="4" t="s">
        <v>31</v>
      </c>
      <c r="C85" s="4" t="s">
        <v>23</v>
      </c>
      <c r="D85" s="4" t="s">
        <v>32</v>
      </c>
      <c r="E85" s="4" t="s">
        <v>25</v>
      </c>
      <c r="F85" s="4" t="s">
        <v>25</v>
      </c>
      <c r="G85" s="4" t="s">
        <v>25</v>
      </c>
      <c r="H85" s="4" t="s">
        <v>25</v>
      </c>
      <c r="I85" s="5">
        <v>44774</v>
      </c>
      <c r="J85" s="6">
        <v>0</v>
      </c>
      <c r="K85" s="6">
        <v>0</v>
      </c>
      <c r="L85" s="6">
        <v>496.76</v>
      </c>
      <c r="M85" s="6">
        <v>496.76</v>
      </c>
      <c r="N85" s="6">
        <v>496.76</v>
      </c>
      <c r="O85" s="6">
        <v>496.76</v>
      </c>
      <c r="P85" s="6">
        <v>1409</v>
      </c>
      <c r="Q85" s="4" t="s">
        <v>26</v>
      </c>
      <c r="R85" s="4">
        <v>0</v>
      </c>
      <c r="S85" s="4" t="s">
        <v>145</v>
      </c>
      <c r="T85" s="4" t="s">
        <v>235</v>
      </c>
      <c r="U85" s="4">
        <v>0</v>
      </c>
      <c r="V85" s="4">
        <v>41</v>
      </c>
      <c r="W85" s="4">
        <v>39</v>
      </c>
    </row>
    <row r="86" spans="1:23" ht="11.25" customHeight="1" x14ac:dyDescent="0.25">
      <c r="A86" s="4" t="s">
        <v>27</v>
      </c>
      <c r="B86" s="4" t="s">
        <v>31</v>
      </c>
      <c r="C86" s="4" t="s">
        <v>23</v>
      </c>
      <c r="D86" s="4" t="s">
        <v>32</v>
      </c>
      <c r="E86" s="4" t="s">
        <v>25</v>
      </c>
      <c r="F86" s="4" t="s">
        <v>25</v>
      </c>
      <c r="G86" s="4" t="s">
        <v>25</v>
      </c>
      <c r="H86" s="4" t="s">
        <v>25</v>
      </c>
      <c r="I86" s="5">
        <v>44774</v>
      </c>
      <c r="J86" s="6">
        <v>0</v>
      </c>
      <c r="K86" s="6">
        <v>0</v>
      </c>
      <c r="L86" s="6">
        <v>45.319000000000003</v>
      </c>
      <c r="M86" s="6">
        <v>45.319000000000003</v>
      </c>
      <c r="N86" s="6">
        <v>45.319000000000003</v>
      </c>
      <c r="O86" s="6">
        <v>45.319000000000003</v>
      </c>
      <c r="P86" s="6">
        <v>60</v>
      </c>
      <c r="Q86" s="4" t="s">
        <v>26</v>
      </c>
      <c r="R86" s="4">
        <v>0</v>
      </c>
      <c r="S86" s="4" t="s">
        <v>145</v>
      </c>
      <c r="T86" s="4" t="s">
        <v>235</v>
      </c>
      <c r="U86" s="4">
        <v>0</v>
      </c>
      <c r="V86" s="4">
        <v>41</v>
      </c>
      <c r="W86" s="4">
        <v>39</v>
      </c>
    </row>
    <row r="87" spans="1:23" ht="11.25" customHeight="1" x14ac:dyDescent="0.25">
      <c r="A87" s="4" t="s">
        <v>21</v>
      </c>
      <c r="B87" s="4" t="s">
        <v>31</v>
      </c>
      <c r="C87" s="4" t="s">
        <v>23</v>
      </c>
      <c r="D87" s="4" t="s">
        <v>32</v>
      </c>
      <c r="E87" s="4" t="s">
        <v>25</v>
      </c>
      <c r="F87" s="4" t="s">
        <v>25</v>
      </c>
      <c r="G87" s="4" t="s">
        <v>25</v>
      </c>
      <c r="H87" s="4" t="s">
        <v>25</v>
      </c>
      <c r="I87" s="5">
        <v>44805</v>
      </c>
      <c r="J87" s="6">
        <v>0</v>
      </c>
      <c r="K87" s="6">
        <v>0</v>
      </c>
      <c r="L87" s="6">
        <v>443.57400000000001</v>
      </c>
      <c r="M87" s="6">
        <v>443.57400000000001</v>
      </c>
      <c r="N87" s="6">
        <v>443.57400000000001</v>
      </c>
      <c r="O87" s="6">
        <v>443.57400000000001</v>
      </c>
      <c r="P87" s="6">
        <v>1407</v>
      </c>
      <c r="Q87" s="4" t="s">
        <v>26</v>
      </c>
      <c r="R87" s="4">
        <v>0</v>
      </c>
      <c r="S87" s="4" t="s">
        <v>146</v>
      </c>
      <c r="T87" s="4" t="s">
        <v>236</v>
      </c>
      <c r="U87" s="4">
        <v>0</v>
      </c>
      <c r="V87" s="4">
        <v>41</v>
      </c>
      <c r="W87" s="4">
        <v>39</v>
      </c>
    </row>
    <row r="88" spans="1:23" ht="11.25" customHeight="1" x14ac:dyDescent="0.25">
      <c r="A88" s="4" t="s">
        <v>27</v>
      </c>
      <c r="B88" s="4" t="s">
        <v>31</v>
      </c>
      <c r="C88" s="4" t="s">
        <v>23</v>
      </c>
      <c r="D88" s="4" t="s">
        <v>32</v>
      </c>
      <c r="E88" s="4" t="s">
        <v>25</v>
      </c>
      <c r="F88" s="4" t="s">
        <v>25</v>
      </c>
      <c r="G88" s="4" t="s">
        <v>25</v>
      </c>
      <c r="H88" s="4" t="s">
        <v>25</v>
      </c>
      <c r="I88" s="5">
        <v>44805</v>
      </c>
      <c r="J88" s="6">
        <v>0</v>
      </c>
      <c r="K88" s="6">
        <v>0</v>
      </c>
      <c r="L88" s="6">
        <v>46.637</v>
      </c>
      <c r="M88" s="6">
        <v>46.637</v>
      </c>
      <c r="N88" s="6">
        <v>46.637</v>
      </c>
      <c r="O88" s="6">
        <v>46.637</v>
      </c>
      <c r="P88" s="6">
        <v>62</v>
      </c>
      <c r="Q88" s="4" t="s">
        <v>26</v>
      </c>
      <c r="R88" s="4">
        <v>0</v>
      </c>
      <c r="S88" s="4" t="s">
        <v>146</v>
      </c>
      <c r="T88" s="4" t="s">
        <v>236</v>
      </c>
      <c r="U88" s="4">
        <v>0</v>
      </c>
      <c r="V88" s="4">
        <v>41</v>
      </c>
      <c r="W88" s="4">
        <v>39</v>
      </c>
    </row>
    <row r="89" spans="1:23" ht="11.25" customHeight="1" x14ac:dyDescent="0.25">
      <c r="A89" s="4" t="s">
        <v>21</v>
      </c>
      <c r="B89" s="4" t="s">
        <v>31</v>
      </c>
      <c r="C89" s="4" t="s">
        <v>23</v>
      </c>
      <c r="D89" s="4" t="s">
        <v>32</v>
      </c>
      <c r="E89" s="4" t="s">
        <v>25</v>
      </c>
      <c r="F89" s="4" t="s">
        <v>25</v>
      </c>
      <c r="G89" s="4" t="s">
        <v>25</v>
      </c>
      <c r="H89" s="4" t="s">
        <v>25</v>
      </c>
      <c r="I89" s="5">
        <v>44835</v>
      </c>
      <c r="J89" s="6">
        <v>0</v>
      </c>
      <c r="K89" s="6">
        <v>0</v>
      </c>
      <c r="L89" s="6">
        <v>490.70600000000002</v>
      </c>
      <c r="M89" s="6">
        <v>490.70600000000002</v>
      </c>
      <c r="N89" s="6">
        <v>490.70600000000002</v>
      </c>
      <c r="O89" s="6">
        <v>490.70600000000002</v>
      </c>
      <c r="P89" s="6">
        <v>1404</v>
      </c>
      <c r="Q89" s="4" t="s">
        <v>26</v>
      </c>
      <c r="R89" s="4">
        <v>0</v>
      </c>
      <c r="S89" s="4" t="s">
        <v>147</v>
      </c>
      <c r="T89" s="4" t="s">
        <v>237</v>
      </c>
      <c r="U89" s="4">
        <v>0</v>
      </c>
      <c r="V89" s="4">
        <v>41</v>
      </c>
      <c r="W89" s="4">
        <v>39</v>
      </c>
    </row>
    <row r="90" spans="1:23" ht="11.25" customHeight="1" x14ac:dyDescent="0.25">
      <c r="A90" s="4" t="s">
        <v>27</v>
      </c>
      <c r="B90" s="4" t="s">
        <v>31</v>
      </c>
      <c r="C90" s="4" t="s">
        <v>23</v>
      </c>
      <c r="D90" s="4" t="s">
        <v>32</v>
      </c>
      <c r="E90" s="4" t="s">
        <v>25</v>
      </c>
      <c r="F90" s="4" t="s">
        <v>25</v>
      </c>
      <c r="G90" s="4" t="s">
        <v>25</v>
      </c>
      <c r="H90" s="4" t="s">
        <v>25</v>
      </c>
      <c r="I90" s="5">
        <v>44835</v>
      </c>
      <c r="J90" s="6">
        <v>0</v>
      </c>
      <c r="K90" s="6">
        <v>0</v>
      </c>
      <c r="L90" s="6">
        <v>11.884</v>
      </c>
      <c r="M90" s="6">
        <v>11.884</v>
      </c>
      <c r="N90" s="6">
        <v>11.884</v>
      </c>
      <c r="O90" s="6">
        <v>11.884</v>
      </c>
      <c r="P90" s="6">
        <v>64</v>
      </c>
      <c r="Q90" s="4" t="s">
        <v>26</v>
      </c>
      <c r="R90" s="4">
        <v>0</v>
      </c>
      <c r="S90" s="4" t="s">
        <v>147</v>
      </c>
      <c r="T90" s="4" t="s">
        <v>237</v>
      </c>
      <c r="U90" s="4">
        <v>0</v>
      </c>
      <c r="V90" s="4">
        <v>41</v>
      </c>
      <c r="W90" s="4">
        <v>39</v>
      </c>
    </row>
    <row r="91" spans="1:23" ht="11.25" customHeight="1" x14ac:dyDescent="0.25">
      <c r="A91" s="4" t="s">
        <v>21</v>
      </c>
      <c r="B91" s="4" t="s">
        <v>28</v>
      </c>
      <c r="C91" s="4" t="s">
        <v>23</v>
      </c>
      <c r="D91" s="4" t="s">
        <v>30</v>
      </c>
      <c r="E91" s="4" t="s">
        <v>25</v>
      </c>
      <c r="F91" s="4" t="s">
        <v>25</v>
      </c>
      <c r="G91" s="4" t="s">
        <v>25</v>
      </c>
      <c r="H91" s="4" t="s">
        <v>25</v>
      </c>
      <c r="I91" s="5">
        <v>44501</v>
      </c>
      <c r="J91" s="6">
        <v>0</v>
      </c>
      <c r="K91" s="6">
        <v>0</v>
      </c>
      <c r="L91" s="6">
        <v>97.988</v>
      </c>
      <c r="M91" s="6">
        <v>97.988</v>
      </c>
      <c r="N91" s="6">
        <v>97.988</v>
      </c>
      <c r="O91" s="6">
        <v>97.988</v>
      </c>
      <c r="P91" s="6">
        <v>195</v>
      </c>
      <c r="Q91" s="4" t="s">
        <v>26</v>
      </c>
      <c r="R91" s="4">
        <v>0</v>
      </c>
      <c r="S91" s="4" t="s">
        <v>148</v>
      </c>
      <c r="T91" s="4" t="s">
        <v>238</v>
      </c>
      <c r="U91" s="4">
        <v>0</v>
      </c>
      <c r="V91" s="4">
        <v>42</v>
      </c>
      <c r="W91" s="4">
        <v>50</v>
      </c>
    </row>
    <row r="92" spans="1:23" ht="11.25" customHeight="1" x14ac:dyDescent="0.25">
      <c r="A92" s="4" t="s">
        <v>27</v>
      </c>
      <c r="B92" s="4" t="s">
        <v>28</v>
      </c>
      <c r="C92" s="4" t="s">
        <v>23</v>
      </c>
      <c r="D92" s="4" t="s">
        <v>30</v>
      </c>
      <c r="E92" s="4" t="s">
        <v>25</v>
      </c>
      <c r="F92" s="4" t="s">
        <v>25</v>
      </c>
      <c r="G92" s="4" t="s">
        <v>25</v>
      </c>
      <c r="H92" s="4" t="s">
        <v>25</v>
      </c>
      <c r="I92" s="5">
        <v>44501</v>
      </c>
      <c r="J92" s="6">
        <v>0</v>
      </c>
      <c r="K92" s="6">
        <v>0</v>
      </c>
      <c r="L92" s="6">
        <v>12.255000000000001</v>
      </c>
      <c r="M92" s="6">
        <v>12.255000000000001</v>
      </c>
      <c r="N92" s="6">
        <v>12.255000000000001</v>
      </c>
      <c r="O92" s="6">
        <v>12.255000000000001</v>
      </c>
      <c r="P92" s="6">
        <v>13</v>
      </c>
      <c r="Q92" s="4" t="s">
        <v>26</v>
      </c>
      <c r="R92" s="4">
        <v>0</v>
      </c>
      <c r="S92" s="4" t="s">
        <v>148</v>
      </c>
      <c r="T92" s="4" t="s">
        <v>238</v>
      </c>
      <c r="U92" s="4">
        <v>0</v>
      </c>
      <c r="V92" s="4">
        <v>42</v>
      </c>
      <c r="W92" s="4">
        <v>50</v>
      </c>
    </row>
    <row r="93" spans="1:23" ht="11.25" customHeight="1" x14ac:dyDescent="0.25">
      <c r="A93" s="4" t="s">
        <v>21</v>
      </c>
      <c r="B93" s="4" t="s">
        <v>28</v>
      </c>
      <c r="C93" s="4" t="s">
        <v>23</v>
      </c>
      <c r="D93" s="4" t="s">
        <v>30</v>
      </c>
      <c r="E93" s="4" t="s">
        <v>25</v>
      </c>
      <c r="F93" s="4" t="s">
        <v>25</v>
      </c>
      <c r="G93" s="4" t="s">
        <v>25</v>
      </c>
      <c r="H93" s="4" t="s">
        <v>25</v>
      </c>
      <c r="I93" s="5">
        <v>44531</v>
      </c>
      <c r="J93" s="6">
        <v>0</v>
      </c>
      <c r="K93" s="6">
        <v>0</v>
      </c>
      <c r="L93" s="6">
        <v>99.230999999999995</v>
      </c>
      <c r="M93" s="6">
        <v>99.230999999999995</v>
      </c>
      <c r="N93" s="6">
        <v>99.230999999999995</v>
      </c>
      <c r="O93" s="6">
        <v>99.230999999999995</v>
      </c>
      <c r="P93" s="6">
        <v>196</v>
      </c>
      <c r="Q93" s="4" t="s">
        <v>26</v>
      </c>
      <c r="R93" s="4">
        <v>0</v>
      </c>
      <c r="S93" s="4" t="s">
        <v>149</v>
      </c>
      <c r="T93" s="4" t="s">
        <v>239</v>
      </c>
      <c r="U93" s="4">
        <v>0</v>
      </c>
      <c r="V93" s="4">
        <v>42</v>
      </c>
      <c r="W93" s="4">
        <v>50</v>
      </c>
    </row>
    <row r="94" spans="1:23" ht="11.25" customHeight="1" x14ac:dyDescent="0.25">
      <c r="A94" s="4" t="s">
        <v>27</v>
      </c>
      <c r="B94" s="4" t="s">
        <v>28</v>
      </c>
      <c r="C94" s="4" t="s">
        <v>23</v>
      </c>
      <c r="D94" s="4" t="s">
        <v>30</v>
      </c>
      <c r="E94" s="4" t="s">
        <v>25</v>
      </c>
      <c r="F94" s="4" t="s">
        <v>25</v>
      </c>
      <c r="G94" s="4" t="s">
        <v>25</v>
      </c>
      <c r="H94" s="4" t="s">
        <v>25</v>
      </c>
      <c r="I94" s="5">
        <v>44531</v>
      </c>
      <c r="J94" s="6">
        <v>0</v>
      </c>
      <c r="K94" s="6">
        <v>0</v>
      </c>
      <c r="L94" s="6">
        <v>13.917</v>
      </c>
      <c r="M94" s="6">
        <v>13.917</v>
      </c>
      <c r="N94" s="6">
        <v>13.917</v>
      </c>
      <c r="O94" s="6">
        <v>13.917</v>
      </c>
      <c r="P94" s="6">
        <v>13</v>
      </c>
      <c r="Q94" s="4" t="s">
        <v>26</v>
      </c>
      <c r="R94" s="4">
        <v>0</v>
      </c>
      <c r="S94" s="4" t="s">
        <v>149</v>
      </c>
      <c r="T94" s="4" t="s">
        <v>239</v>
      </c>
      <c r="U94" s="4">
        <v>0</v>
      </c>
      <c r="V94" s="4">
        <v>42</v>
      </c>
      <c r="W94" s="4">
        <v>50</v>
      </c>
    </row>
    <row r="95" spans="1:23" ht="11.25" customHeight="1" x14ac:dyDescent="0.25">
      <c r="A95" s="4" t="s">
        <v>21</v>
      </c>
      <c r="B95" s="4" t="s">
        <v>28</v>
      </c>
      <c r="C95" s="4" t="s">
        <v>23</v>
      </c>
      <c r="D95" s="4" t="s">
        <v>30</v>
      </c>
      <c r="E95" s="4" t="s">
        <v>25</v>
      </c>
      <c r="F95" s="4" t="s">
        <v>25</v>
      </c>
      <c r="G95" s="4" t="s">
        <v>25</v>
      </c>
      <c r="H95" s="4" t="s">
        <v>25</v>
      </c>
      <c r="I95" s="5">
        <v>44562</v>
      </c>
      <c r="J95" s="6">
        <v>0</v>
      </c>
      <c r="K95" s="6">
        <v>0</v>
      </c>
      <c r="L95" s="6">
        <v>108.58799999999999</v>
      </c>
      <c r="M95" s="6">
        <v>108.58799999999999</v>
      </c>
      <c r="N95" s="6">
        <v>108.58799999999999</v>
      </c>
      <c r="O95" s="6">
        <v>108.58799999999999</v>
      </c>
      <c r="P95" s="6">
        <v>197</v>
      </c>
      <c r="Q95" s="4" t="s">
        <v>26</v>
      </c>
      <c r="R95" s="4">
        <v>0</v>
      </c>
      <c r="S95" s="4" t="s">
        <v>150</v>
      </c>
      <c r="T95" s="4" t="s">
        <v>240</v>
      </c>
      <c r="U95" s="4">
        <v>0</v>
      </c>
      <c r="V95" s="4">
        <v>42</v>
      </c>
      <c r="W95" s="4">
        <v>50</v>
      </c>
    </row>
    <row r="96" spans="1:23" ht="11.25" customHeight="1" x14ac:dyDescent="0.25">
      <c r="A96" s="4" t="s">
        <v>27</v>
      </c>
      <c r="B96" s="4" t="s">
        <v>28</v>
      </c>
      <c r="C96" s="4" t="s">
        <v>23</v>
      </c>
      <c r="D96" s="4" t="s">
        <v>30</v>
      </c>
      <c r="E96" s="4" t="s">
        <v>25</v>
      </c>
      <c r="F96" s="4" t="s">
        <v>25</v>
      </c>
      <c r="G96" s="4" t="s">
        <v>25</v>
      </c>
      <c r="H96" s="4" t="s">
        <v>25</v>
      </c>
      <c r="I96" s="5">
        <v>44562</v>
      </c>
      <c r="J96" s="6">
        <v>0</v>
      </c>
      <c r="K96" s="6">
        <v>0</v>
      </c>
      <c r="L96" s="6">
        <v>15.769</v>
      </c>
      <c r="M96" s="6">
        <v>15.769</v>
      </c>
      <c r="N96" s="6">
        <v>15.769</v>
      </c>
      <c r="O96" s="6">
        <v>15.769</v>
      </c>
      <c r="P96" s="6">
        <v>13</v>
      </c>
      <c r="Q96" s="4" t="s">
        <v>26</v>
      </c>
      <c r="R96" s="4">
        <v>0</v>
      </c>
      <c r="S96" s="4" t="s">
        <v>150</v>
      </c>
      <c r="T96" s="4" t="s">
        <v>240</v>
      </c>
      <c r="U96" s="4">
        <v>0</v>
      </c>
      <c r="V96" s="4">
        <v>42</v>
      </c>
      <c r="W96" s="4">
        <v>50</v>
      </c>
    </row>
    <row r="97" spans="1:23" ht="11.25" customHeight="1" x14ac:dyDescent="0.25">
      <c r="A97" s="4" t="s">
        <v>21</v>
      </c>
      <c r="B97" s="4" t="s">
        <v>28</v>
      </c>
      <c r="C97" s="4" t="s">
        <v>23</v>
      </c>
      <c r="D97" s="4" t="s">
        <v>30</v>
      </c>
      <c r="E97" s="4" t="s">
        <v>25</v>
      </c>
      <c r="F97" s="4" t="s">
        <v>25</v>
      </c>
      <c r="G97" s="4" t="s">
        <v>25</v>
      </c>
      <c r="H97" s="4" t="s">
        <v>25</v>
      </c>
      <c r="I97" s="5">
        <v>44593</v>
      </c>
      <c r="J97" s="6">
        <v>0</v>
      </c>
      <c r="K97" s="6">
        <v>0</v>
      </c>
      <c r="L97" s="6">
        <v>114.036</v>
      </c>
      <c r="M97" s="6">
        <v>114.036</v>
      </c>
      <c r="N97" s="6">
        <v>114.036</v>
      </c>
      <c r="O97" s="6">
        <v>114.036</v>
      </c>
      <c r="P97" s="6">
        <v>198</v>
      </c>
      <c r="Q97" s="4" t="s">
        <v>26</v>
      </c>
      <c r="R97" s="4">
        <v>0</v>
      </c>
      <c r="S97" s="4" t="s">
        <v>151</v>
      </c>
      <c r="T97" s="4" t="s">
        <v>241</v>
      </c>
      <c r="U97" s="4">
        <v>0</v>
      </c>
      <c r="V97" s="4">
        <v>42</v>
      </c>
      <c r="W97" s="4">
        <v>50</v>
      </c>
    </row>
    <row r="98" spans="1:23" ht="11.25" customHeight="1" x14ac:dyDescent="0.25">
      <c r="A98" s="4" t="s">
        <v>27</v>
      </c>
      <c r="B98" s="4" t="s">
        <v>28</v>
      </c>
      <c r="C98" s="4" t="s">
        <v>23</v>
      </c>
      <c r="D98" s="4" t="s">
        <v>30</v>
      </c>
      <c r="E98" s="4" t="s">
        <v>25</v>
      </c>
      <c r="F98" s="4" t="s">
        <v>25</v>
      </c>
      <c r="G98" s="4" t="s">
        <v>25</v>
      </c>
      <c r="H98" s="4" t="s">
        <v>25</v>
      </c>
      <c r="I98" s="5">
        <v>44593</v>
      </c>
      <c r="J98" s="6">
        <v>0</v>
      </c>
      <c r="K98" s="6">
        <v>0</v>
      </c>
      <c r="L98" s="6">
        <v>15.666</v>
      </c>
      <c r="M98" s="6">
        <v>15.666</v>
      </c>
      <c r="N98" s="6">
        <v>15.666</v>
      </c>
      <c r="O98" s="6">
        <v>15.666</v>
      </c>
      <c r="P98" s="6">
        <v>14</v>
      </c>
      <c r="Q98" s="4" t="s">
        <v>26</v>
      </c>
      <c r="R98" s="4">
        <v>0</v>
      </c>
      <c r="S98" s="4" t="s">
        <v>151</v>
      </c>
      <c r="T98" s="4" t="s">
        <v>241</v>
      </c>
      <c r="U98" s="4">
        <v>0</v>
      </c>
      <c r="V98" s="4">
        <v>42</v>
      </c>
      <c r="W98" s="4">
        <v>50</v>
      </c>
    </row>
    <row r="99" spans="1:23" ht="11.25" customHeight="1" x14ac:dyDescent="0.25">
      <c r="A99" s="4" t="s">
        <v>21</v>
      </c>
      <c r="B99" s="4" t="s">
        <v>28</v>
      </c>
      <c r="C99" s="4" t="s">
        <v>23</v>
      </c>
      <c r="D99" s="4" t="s">
        <v>30</v>
      </c>
      <c r="E99" s="4" t="s">
        <v>25</v>
      </c>
      <c r="F99" s="4" t="s">
        <v>25</v>
      </c>
      <c r="G99" s="4" t="s">
        <v>25</v>
      </c>
      <c r="H99" s="4" t="s">
        <v>25</v>
      </c>
      <c r="I99" s="5">
        <v>44621</v>
      </c>
      <c r="J99" s="6">
        <v>0</v>
      </c>
      <c r="K99" s="6">
        <v>0</v>
      </c>
      <c r="L99" s="6">
        <v>113.01900000000001</v>
      </c>
      <c r="M99" s="6">
        <v>113.01900000000001</v>
      </c>
      <c r="N99" s="6">
        <v>113.01900000000001</v>
      </c>
      <c r="O99" s="6">
        <v>113.01900000000001</v>
      </c>
      <c r="P99" s="6">
        <v>196</v>
      </c>
      <c r="Q99" s="4" t="s">
        <v>26</v>
      </c>
      <c r="R99" s="4">
        <v>0</v>
      </c>
      <c r="S99" s="4" t="s">
        <v>152</v>
      </c>
      <c r="T99" s="4" t="s">
        <v>242</v>
      </c>
      <c r="U99" s="4">
        <v>0</v>
      </c>
      <c r="V99" s="4">
        <v>42</v>
      </c>
      <c r="W99" s="4">
        <v>50</v>
      </c>
    </row>
    <row r="100" spans="1:23" ht="11.25" customHeight="1" x14ac:dyDescent="0.25">
      <c r="A100" s="4" t="s">
        <v>27</v>
      </c>
      <c r="B100" s="4" t="s">
        <v>28</v>
      </c>
      <c r="C100" s="4" t="s">
        <v>23</v>
      </c>
      <c r="D100" s="4" t="s">
        <v>30</v>
      </c>
      <c r="E100" s="4" t="s">
        <v>25</v>
      </c>
      <c r="F100" s="4" t="s">
        <v>25</v>
      </c>
      <c r="G100" s="4" t="s">
        <v>25</v>
      </c>
      <c r="H100" s="4" t="s">
        <v>25</v>
      </c>
      <c r="I100" s="5">
        <v>44621</v>
      </c>
      <c r="J100" s="6">
        <v>0</v>
      </c>
      <c r="K100" s="6">
        <v>0</v>
      </c>
      <c r="L100" s="6">
        <v>16.754999999999999</v>
      </c>
      <c r="M100" s="6">
        <v>16.754999999999999</v>
      </c>
      <c r="N100" s="6">
        <v>16.754999999999999</v>
      </c>
      <c r="O100" s="6">
        <v>16.754999999999999</v>
      </c>
      <c r="P100" s="6">
        <v>14</v>
      </c>
      <c r="Q100" s="4" t="s">
        <v>26</v>
      </c>
      <c r="R100" s="4">
        <v>0</v>
      </c>
      <c r="S100" s="4" t="s">
        <v>152</v>
      </c>
      <c r="T100" s="4" t="s">
        <v>242</v>
      </c>
      <c r="U100" s="4">
        <v>0</v>
      </c>
      <c r="V100" s="4">
        <v>42</v>
      </c>
      <c r="W100" s="4">
        <v>50</v>
      </c>
    </row>
    <row r="101" spans="1:23" ht="11.25" customHeight="1" x14ac:dyDescent="0.25">
      <c r="A101" s="4" t="s">
        <v>21</v>
      </c>
      <c r="B101" s="4" t="s">
        <v>28</v>
      </c>
      <c r="C101" s="4" t="s">
        <v>23</v>
      </c>
      <c r="D101" s="4" t="s">
        <v>30</v>
      </c>
      <c r="E101" s="4" t="s">
        <v>25</v>
      </c>
      <c r="F101" s="4" t="s">
        <v>25</v>
      </c>
      <c r="G101" s="4" t="s">
        <v>25</v>
      </c>
      <c r="H101" s="4" t="s">
        <v>25</v>
      </c>
      <c r="I101" s="5">
        <v>44652</v>
      </c>
      <c r="J101" s="6">
        <v>0</v>
      </c>
      <c r="K101" s="6">
        <v>0</v>
      </c>
      <c r="L101" s="6">
        <v>108.592</v>
      </c>
      <c r="M101" s="6">
        <v>108.592</v>
      </c>
      <c r="N101" s="6">
        <v>108.592</v>
      </c>
      <c r="O101" s="6">
        <v>108.592</v>
      </c>
      <c r="P101" s="6">
        <v>196</v>
      </c>
      <c r="Q101" s="4" t="s">
        <v>26</v>
      </c>
      <c r="R101" s="4">
        <v>0</v>
      </c>
      <c r="S101" s="4" t="s">
        <v>153</v>
      </c>
      <c r="T101" s="4" t="s">
        <v>243</v>
      </c>
      <c r="U101" s="4">
        <v>0</v>
      </c>
      <c r="V101" s="4">
        <v>42</v>
      </c>
      <c r="W101" s="4">
        <v>50</v>
      </c>
    </row>
    <row r="102" spans="1:23" ht="11.25" customHeight="1" x14ac:dyDescent="0.25">
      <c r="A102" s="4" t="s">
        <v>27</v>
      </c>
      <c r="B102" s="4" t="s">
        <v>28</v>
      </c>
      <c r="C102" s="4" t="s">
        <v>23</v>
      </c>
      <c r="D102" s="4" t="s">
        <v>30</v>
      </c>
      <c r="E102" s="4" t="s">
        <v>25</v>
      </c>
      <c r="F102" s="4" t="s">
        <v>25</v>
      </c>
      <c r="G102" s="4" t="s">
        <v>25</v>
      </c>
      <c r="H102" s="4" t="s">
        <v>25</v>
      </c>
      <c r="I102" s="5">
        <v>44652</v>
      </c>
      <c r="J102" s="6">
        <v>0</v>
      </c>
      <c r="K102" s="6">
        <v>0</v>
      </c>
      <c r="L102" s="6">
        <v>12.262</v>
      </c>
      <c r="M102" s="6">
        <v>12.262</v>
      </c>
      <c r="N102" s="6">
        <v>12.262</v>
      </c>
      <c r="O102" s="6">
        <v>12.262</v>
      </c>
      <c r="P102" s="6">
        <v>14</v>
      </c>
      <c r="Q102" s="4" t="s">
        <v>26</v>
      </c>
      <c r="R102" s="4">
        <v>0</v>
      </c>
      <c r="S102" s="4" t="s">
        <v>153</v>
      </c>
      <c r="T102" s="4" t="s">
        <v>243</v>
      </c>
      <c r="U102" s="4">
        <v>0</v>
      </c>
      <c r="V102" s="4">
        <v>42</v>
      </c>
      <c r="W102" s="4">
        <v>50</v>
      </c>
    </row>
    <row r="103" spans="1:23" ht="11.25" customHeight="1" x14ac:dyDescent="0.25">
      <c r="A103" s="4" t="s">
        <v>21</v>
      </c>
      <c r="B103" s="4" t="s">
        <v>28</v>
      </c>
      <c r="C103" s="4" t="s">
        <v>23</v>
      </c>
      <c r="D103" s="4" t="s">
        <v>30</v>
      </c>
      <c r="E103" s="4" t="s">
        <v>25</v>
      </c>
      <c r="F103" s="4" t="s">
        <v>25</v>
      </c>
      <c r="G103" s="4" t="s">
        <v>25</v>
      </c>
      <c r="H103" s="4" t="s">
        <v>25</v>
      </c>
      <c r="I103" s="5">
        <v>44682</v>
      </c>
      <c r="J103" s="6">
        <v>0</v>
      </c>
      <c r="K103" s="6">
        <v>0</v>
      </c>
      <c r="L103" s="6">
        <v>103.051</v>
      </c>
      <c r="M103" s="6">
        <v>103.051</v>
      </c>
      <c r="N103" s="6">
        <v>103.051</v>
      </c>
      <c r="O103" s="6">
        <v>103.051</v>
      </c>
      <c r="P103" s="6">
        <v>195</v>
      </c>
      <c r="Q103" s="4" t="s">
        <v>26</v>
      </c>
      <c r="R103" s="4">
        <v>0</v>
      </c>
      <c r="S103" s="4" t="s">
        <v>154</v>
      </c>
      <c r="T103" s="4" t="s">
        <v>244</v>
      </c>
      <c r="U103" s="4">
        <v>0</v>
      </c>
      <c r="V103" s="4">
        <v>42</v>
      </c>
      <c r="W103" s="4">
        <v>50</v>
      </c>
    </row>
    <row r="104" spans="1:23" ht="11.25" customHeight="1" x14ac:dyDescent="0.25">
      <c r="A104" s="4" t="s">
        <v>27</v>
      </c>
      <c r="B104" s="4" t="s">
        <v>28</v>
      </c>
      <c r="C104" s="4" t="s">
        <v>23</v>
      </c>
      <c r="D104" s="4" t="s">
        <v>30</v>
      </c>
      <c r="E104" s="4" t="s">
        <v>25</v>
      </c>
      <c r="F104" s="4" t="s">
        <v>25</v>
      </c>
      <c r="G104" s="4" t="s">
        <v>25</v>
      </c>
      <c r="H104" s="4" t="s">
        <v>25</v>
      </c>
      <c r="I104" s="5">
        <v>44682</v>
      </c>
      <c r="J104" s="6">
        <v>0</v>
      </c>
      <c r="K104" s="6">
        <v>0</v>
      </c>
      <c r="L104" s="6">
        <v>10.843999999999999</v>
      </c>
      <c r="M104" s="6">
        <v>10.843999999999999</v>
      </c>
      <c r="N104" s="6">
        <v>10.843999999999999</v>
      </c>
      <c r="O104" s="6">
        <v>10.843999999999999</v>
      </c>
      <c r="P104" s="6">
        <v>15</v>
      </c>
      <c r="Q104" s="4" t="s">
        <v>26</v>
      </c>
      <c r="R104" s="4">
        <v>0</v>
      </c>
      <c r="S104" s="4" t="s">
        <v>154</v>
      </c>
      <c r="T104" s="4" t="s">
        <v>244</v>
      </c>
      <c r="U104" s="4">
        <v>0</v>
      </c>
      <c r="V104" s="4">
        <v>42</v>
      </c>
      <c r="W104" s="4">
        <v>50</v>
      </c>
    </row>
    <row r="105" spans="1:23" ht="11.25" customHeight="1" x14ac:dyDescent="0.25">
      <c r="A105" s="4" t="s">
        <v>21</v>
      </c>
      <c r="B105" s="4" t="s">
        <v>28</v>
      </c>
      <c r="C105" s="4" t="s">
        <v>23</v>
      </c>
      <c r="D105" s="4" t="s">
        <v>30</v>
      </c>
      <c r="E105" s="4" t="s">
        <v>25</v>
      </c>
      <c r="F105" s="4" t="s">
        <v>25</v>
      </c>
      <c r="G105" s="4" t="s">
        <v>25</v>
      </c>
      <c r="H105" s="4" t="s">
        <v>25</v>
      </c>
      <c r="I105" s="5">
        <v>44713</v>
      </c>
      <c r="J105" s="6">
        <v>0</v>
      </c>
      <c r="K105" s="6">
        <v>0</v>
      </c>
      <c r="L105" s="6">
        <v>103.625</v>
      </c>
      <c r="M105" s="6">
        <v>103.625</v>
      </c>
      <c r="N105" s="6">
        <v>103.625</v>
      </c>
      <c r="O105" s="6">
        <v>103.625</v>
      </c>
      <c r="P105" s="6">
        <v>198</v>
      </c>
      <c r="Q105" s="4" t="s">
        <v>26</v>
      </c>
      <c r="R105" s="4">
        <v>0</v>
      </c>
      <c r="S105" s="4" t="s">
        <v>155</v>
      </c>
      <c r="T105" s="4" t="s">
        <v>245</v>
      </c>
      <c r="U105" s="4">
        <v>0</v>
      </c>
      <c r="V105" s="4">
        <v>42</v>
      </c>
      <c r="W105" s="4">
        <v>50</v>
      </c>
    </row>
    <row r="106" spans="1:23" ht="11.25" customHeight="1" x14ac:dyDescent="0.25">
      <c r="A106" s="4" t="s">
        <v>27</v>
      </c>
      <c r="B106" s="4" t="s">
        <v>28</v>
      </c>
      <c r="C106" s="4" t="s">
        <v>23</v>
      </c>
      <c r="D106" s="4" t="s">
        <v>30</v>
      </c>
      <c r="E106" s="4" t="s">
        <v>25</v>
      </c>
      <c r="F106" s="4" t="s">
        <v>25</v>
      </c>
      <c r="G106" s="4" t="s">
        <v>25</v>
      </c>
      <c r="H106" s="4" t="s">
        <v>25</v>
      </c>
      <c r="I106" s="5">
        <v>44713</v>
      </c>
      <c r="J106" s="6">
        <v>0</v>
      </c>
      <c r="K106" s="6">
        <v>0</v>
      </c>
      <c r="L106" s="6">
        <v>9.2810000000000006</v>
      </c>
      <c r="M106" s="6">
        <v>9.2810000000000006</v>
      </c>
      <c r="N106" s="6">
        <v>9.2810000000000006</v>
      </c>
      <c r="O106" s="6">
        <v>9.2810000000000006</v>
      </c>
      <c r="P106" s="6">
        <v>15</v>
      </c>
      <c r="Q106" s="4" t="s">
        <v>26</v>
      </c>
      <c r="R106" s="4">
        <v>0</v>
      </c>
      <c r="S106" s="4" t="s">
        <v>155</v>
      </c>
      <c r="T106" s="4" t="s">
        <v>245</v>
      </c>
      <c r="U106" s="4">
        <v>0</v>
      </c>
      <c r="V106" s="4">
        <v>42</v>
      </c>
      <c r="W106" s="4">
        <v>50</v>
      </c>
    </row>
    <row r="107" spans="1:23" ht="11.25" customHeight="1" x14ac:dyDescent="0.25">
      <c r="A107" s="4" t="s">
        <v>21</v>
      </c>
      <c r="B107" s="4" t="s">
        <v>28</v>
      </c>
      <c r="C107" s="4" t="s">
        <v>23</v>
      </c>
      <c r="D107" s="4" t="s">
        <v>30</v>
      </c>
      <c r="E107" s="4" t="s">
        <v>25</v>
      </c>
      <c r="F107" s="4" t="s">
        <v>25</v>
      </c>
      <c r="G107" s="4" t="s">
        <v>25</v>
      </c>
      <c r="H107" s="4" t="s">
        <v>25</v>
      </c>
      <c r="I107" s="5">
        <v>44743</v>
      </c>
      <c r="J107" s="6">
        <v>0</v>
      </c>
      <c r="K107" s="6">
        <v>0</v>
      </c>
      <c r="L107" s="6">
        <v>97.531000000000006</v>
      </c>
      <c r="M107" s="6">
        <v>97.531000000000006</v>
      </c>
      <c r="N107" s="6">
        <v>97.531000000000006</v>
      </c>
      <c r="O107" s="6">
        <v>97.531000000000006</v>
      </c>
      <c r="P107" s="6">
        <v>198</v>
      </c>
      <c r="Q107" s="4" t="s">
        <v>26</v>
      </c>
      <c r="R107" s="4">
        <v>0</v>
      </c>
      <c r="S107" s="4" t="s">
        <v>156</v>
      </c>
      <c r="T107" s="4" t="s">
        <v>246</v>
      </c>
      <c r="U107" s="4">
        <v>0</v>
      </c>
      <c r="V107" s="4">
        <v>42</v>
      </c>
      <c r="W107" s="4">
        <v>50</v>
      </c>
    </row>
    <row r="108" spans="1:23" ht="11.25" customHeight="1" x14ac:dyDescent="0.25">
      <c r="A108" s="4" t="s">
        <v>27</v>
      </c>
      <c r="B108" s="4" t="s">
        <v>28</v>
      </c>
      <c r="C108" s="4" t="s">
        <v>23</v>
      </c>
      <c r="D108" s="4" t="s">
        <v>30</v>
      </c>
      <c r="E108" s="4" t="s">
        <v>25</v>
      </c>
      <c r="F108" s="4" t="s">
        <v>25</v>
      </c>
      <c r="G108" s="4" t="s">
        <v>25</v>
      </c>
      <c r="H108" s="4" t="s">
        <v>25</v>
      </c>
      <c r="I108" s="5">
        <v>44743</v>
      </c>
      <c r="J108" s="6">
        <v>0</v>
      </c>
      <c r="K108" s="6">
        <v>0</v>
      </c>
      <c r="L108" s="6">
        <v>8.7059999999999995</v>
      </c>
      <c r="M108" s="6">
        <v>8.7059999999999995</v>
      </c>
      <c r="N108" s="6">
        <v>8.7059999999999995</v>
      </c>
      <c r="O108" s="6">
        <v>8.7059999999999995</v>
      </c>
      <c r="P108" s="6">
        <v>15</v>
      </c>
      <c r="Q108" s="4" t="s">
        <v>26</v>
      </c>
      <c r="R108" s="4">
        <v>0</v>
      </c>
      <c r="S108" s="4" t="s">
        <v>156</v>
      </c>
      <c r="T108" s="4" t="s">
        <v>246</v>
      </c>
      <c r="U108" s="4">
        <v>0</v>
      </c>
      <c r="V108" s="4">
        <v>42</v>
      </c>
      <c r="W108" s="4">
        <v>50</v>
      </c>
    </row>
    <row r="109" spans="1:23" ht="11.25" customHeight="1" x14ac:dyDescent="0.25">
      <c r="A109" s="4" t="s">
        <v>21</v>
      </c>
      <c r="B109" s="4" t="s">
        <v>28</v>
      </c>
      <c r="C109" s="4" t="s">
        <v>23</v>
      </c>
      <c r="D109" s="4" t="s">
        <v>30</v>
      </c>
      <c r="E109" s="4" t="s">
        <v>25</v>
      </c>
      <c r="F109" s="4" t="s">
        <v>25</v>
      </c>
      <c r="G109" s="4" t="s">
        <v>25</v>
      </c>
      <c r="H109" s="4" t="s">
        <v>25</v>
      </c>
      <c r="I109" s="5">
        <v>44774</v>
      </c>
      <c r="J109" s="6">
        <v>0</v>
      </c>
      <c r="K109" s="6">
        <v>0</v>
      </c>
      <c r="L109" s="6">
        <v>101.33</v>
      </c>
      <c r="M109" s="6">
        <v>101.33</v>
      </c>
      <c r="N109" s="6">
        <v>101.33</v>
      </c>
      <c r="O109" s="6">
        <v>101.33</v>
      </c>
      <c r="P109" s="6">
        <v>198</v>
      </c>
      <c r="Q109" s="4" t="s">
        <v>26</v>
      </c>
      <c r="R109" s="4">
        <v>0</v>
      </c>
      <c r="S109" s="4" t="s">
        <v>157</v>
      </c>
      <c r="T109" s="4" t="s">
        <v>247</v>
      </c>
      <c r="U109" s="4">
        <v>0</v>
      </c>
      <c r="V109" s="4">
        <v>42</v>
      </c>
      <c r="W109" s="4">
        <v>50</v>
      </c>
    </row>
    <row r="110" spans="1:23" ht="11.25" customHeight="1" x14ac:dyDescent="0.25">
      <c r="A110" s="4" t="s">
        <v>27</v>
      </c>
      <c r="B110" s="4" t="s">
        <v>28</v>
      </c>
      <c r="C110" s="4" t="s">
        <v>23</v>
      </c>
      <c r="D110" s="4" t="s">
        <v>30</v>
      </c>
      <c r="E110" s="4" t="s">
        <v>25</v>
      </c>
      <c r="F110" s="4" t="s">
        <v>25</v>
      </c>
      <c r="G110" s="4" t="s">
        <v>25</v>
      </c>
      <c r="H110" s="4" t="s">
        <v>25</v>
      </c>
      <c r="I110" s="5">
        <v>44774</v>
      </c>
      <c r="J110" s="6">
        <v>0</v>
      </c>
      <c r="K110" s="6">
        <v>0</v>
      </c>
      <c r="L110" s="6">
        <v>9.4649999999999999</v>
      </c>
      <c r="M110" s="6">
        <v>9.4649999999999999</v>
      </c>
      <c r="N110" s="6">
        <v>9.4649999999999999</v>
      </c>
      <c r="O110" s="6">
        <v>9.4649999999999999</v>
      </c>
      <c r="P110" s="6">
        <v>15</v>
      </c>
      <c r="Q110" s="4" t="s">
        <v>26</v>
      </c>
      <c r="R110" s="4">
        <v>0</v>
      </c>
      <c r="S110" s="4" t="s">
        <v>157</v>
      </c>
      <c r="T110" s="4" t="s">
        <v>247</v>
      </c>
      <c r="U110" s="4">
        <v>0</v>
      </c>
      <c r="V110" s="4">
        <v>42</v>
      </c>
      <c r="W110" s="4">
        <v>50</v>
      </c>
    </row>
    <row r="111" spans="1:23" ht="11.25" customHeight="1" x14ac:dyDescent="0.25">
      <c r="A111" s="4" t="s">
        <v>21</v>
      </c>
      <c r="B111" s="4" t="s">
        <v>28</v>
      </c>
      <c r="C111" s="4" t="s">
        <v>23</v>
      </c>
      <c r="D111" s="4" t="s">
        <v>30</v>
      </c>
      <c r="E111" s="4" t="s">
        <v>25</v>
      </c>
      <c r="F111" s="4" t="s">
        <v>25</v>
      </c>
      <c r="G111" s="4" t="s">
        <v>25</v>
      </c>
      <c r="H111" s="4" t="s">
        <v>25</v>
      </c>
      <c r="I111" s="5">
        <v>44805</v>
      </c>
      <c r="J111" s="6">
        <v>0</v>
      </c>
      <c r="K111" s="6">
        <v>0</v>
      </c>
      <c r="L111" s="6">
        <v>105.134</v>
      </c>
      <c r="M111" s="6">
        <v>105.134</v>
      </c>
      <c r="N111" s="6">
        <v>105.134</v>
      </c>
      <c r="O111" s="6">
        <v>105.134</v>
      </c>
      <c r="P111" s="6">
        <v>199</v>
      </c>
      <c r="Q111" s="4" t="s">
        <v>26</v>
      </c>
      <c r="R111" s="4">
        <v>0</v>
      </c>
      <c r="S111" s="4" t="s">
        <v>158</v>
      </c>
      <c r="T111" s="4" t="s">
        <v>248</v>
      </c>
      <c r="U111" s="4">
        <v>0</v>
      </c>
      <c r="V111" s="4">
        <v>42</v>
      </c>
      <c r="W111" s="4">
        <v>50</v>
      </c>
    </row>
    <row r="112" spans="1:23" ht="11.25" customHeight="1" x14ac:dyDescent="0.25">
      <c r="A112" s="4" t="s">
        <v>27</v>
      </c>
      <c r="B112" s="4" t="s">
        <v>28</v>
      </c>
      <c r="C112" s="4" t="s">
        <v>23</v>
      </c>
      <c r="D112" s="4" t="s">
        <v>30</v>
      </c>
      <c r="E112" s="4" t="s">
        <v>25</v>
      </c>
      <c r="F112" s="4" t="s">
        <v>25</v>
      </c>
      <c r="G112" s="4" t="s">
        <v>25</v>
      </c>
      <c r="H112" s="4" t="s">
        <v>25</v>
      </c>
      <c r="I112" s="5">
        <v>44805</v>
      </c>
      <c r="J112" s="6">
        <v>0</v>
      </c>
      <c r="K112" s="6">
        <v>0</v>
      </c>
      <c r="L112" s="6">
        <v>11.551</v>
      </c>
      <c r="M112" s="6">
        <v>11.551</v>
      </c>
      <c r="N112" s="6">
        <v>11.551</v>
      </c>
      <c r="O112" s="6">
        <v>11.551</v>
      </c>
      <c r="P112" s="6">
        <v>16</v>
      </c>
      <c r="Q112" s="4" t="s">
        <v>26</v>
      </c>
      <c r="R112" s="4">
        <v>0</v>
      </c>
      <c r="S112" s="4" t="s">
        <v>158</v>
      </c>
      <c r="T112" s="4" t="s">
        <v>248</v>
      </c>
      <c r="U112" s="4">
        <v>0</v>
      </c>
      <c r="V112" s="4">
        <v>42</v>
      </c>
      <c r="W112" s="4">
        <v>50</v>
      </c>
    </row>
    <row r="113" spans="1:23" ht="11.25" customHeight="1" x14ac:dyDescent="0.25">
      <c r="A113" s="4" t="s">
        <v>21</v>
      </c>
      <c r="B113" s="4" t="s">
        <v>28</v>
      </c>
      <c r="C113" s="4" t="s">
        <v>23</v>
      </c>
      <c r="D113" s="4" t="s">
        <v>30</v>
      </c>
      <c r="E113" s="4" t="s">
        <v>25</v>
      </c>
      <c r="F113" s="4" t="s">
        <v>25</v>
      </c>
      <c r="G113" s="4" t="s">
        <v>25</v>
      </c>
      <c r="H113" s="4" t="s">
        <v>25</v>
      </c>
      <c r="I113" s="5">
        <v>44835</v>
      </c>
      <c r="J113" s="6">
        <v>0</v>
      </c>
      <c r="K113" s="6">
        <v>0</v>
      </c>
      <c r="L113" s="6">
        <v>104.515</v>
      </c>
      <c r="M113" s="6">
        <v>104.515</v>
      </c>
      <c r="N113" s="6">
        <v>104.515</v>
      </c>
      <c r="O113" s="6">
        <v>104.515</v>
      </c>
      <c r="P113" s="6">
        <v>206</v>
      </c>
      <c r="Q113" s="4" t="s">
        <v>26</v>
      </c>
      <c r="R113" s="4">
        <v>0</v>
      </c>
      <c r="S113" s="4" t="s">
        <v>159</v>
      </c>
      <c r="T113" s="4" t="s">
        <v>249</v>
      </c>
      <c r="U113" s="4">
        <v>0</v>
      </c>
      <c r="V113" s="4">
        <v>42</v>
      </c>
      <c r="W113" s="4">
        <v>50</v>
      </c>
    </row>
    <row r="114" spans="1:23" ht="11.25" customHeight="1" x14ac:dyDescent="0.25">
      <c r="A114" s="4" t="s">
        <v>27</v>
      </c>
      <c r="B114" s="4" t="s">
        <v>28</v>
      </c>
      <c r="C114" s="4" t="s">
        <v>23</v>
      </c>
      <c r="D114" s="4" t="s">
        <v>30</v>
      </c>
      <c r="E114" s="4" t="s">
        <v>25</v>
      </c>
      <c r="F114" s="4" t="s">
        <v>25</v>
      </c>
      <c r="G114" s="4" t="s">
        <v>25</v>
      </c>
      <c r="H114" s="4" t="s">
        <v>25</v>
      </c>
      <c r="I114" s="5">
        <v>44835</v>
      </c>
      <c r="J114" s="6">
        <v>0</v>
      </c>
      <c r="K114" s="6">
        <v>0</v>
      </c>
      <c r="L114" s="6">
        <v>48.408000000000001</v>
      </c>
      <c r="M114" s="6">
        <v>48.408000000000001</v>
      </c>
      <c r="N114" s="6">
        <v>48.408000000000001</v>
      </c>
      <c r="O114" s="6">
        <v>48.408000000000001</v>
      </c>
      <c r="P114" s="6">
        <v>17</v>
      </c>
      <c r="Q114" s="4" t="s">
        <v>26</v>
      </c>
      <c r="R114" s="4">
        <v>0</v>
      </c>
      <c r="S114" s="4" t="s">
        <v>159</v>
      </c>
      <c r="T114" s="4" t="s">
        <v>249</v>
      </c>
      <c r="U114" s="4">
        <v>0</v>
      </c>
      <c r="V114" s="4">
        <v>42</v>
      </c>
      <c r="W114" s="4">
        <v>50</v>
      </c>
    </row>
    <row r="115" spans="1:23" ht="11.25" customHeight="1" x14ac:dyDescent="0.25">
      <c r="A115" s="4" t="s">
        <v>21</v>
      </c>
      <c r="B115" s="4" t="s">
        <v>28</v>
      </c>
      <c r="C115" s="4" t="s">
        <v>23</v>
      </c>
      <c r="D115" s="4" t="s">
        <v>29</v>
      </c>
      <c r="E115" s="4" t="s">
        <v>25</v>
      </c>
      <c r="F115" s="4" t="s">
        <v>25</v>
      </c>
      <c r="G115" s="4" t="s">
        <v>25</v>
      </c>
      <c r="H115" s="4" t="s">
        <v>25</v>
      </c>
      <c r="I115" s="5">
        <v>44501</v>
      </c>
      <c r="J115" s="6">
        <v>0</v>
      </c>
      <c r="K115" s="6">
        <v>0</v>
      </c>
      <c r="L115" s="6">
        <v>103.886</v>
      </c>
      <c r="M115" s="6">
        <v>103.886</v>
      </c>
      <c r="N115" s="6">
        <v>103.886</v>
      </c>
      <c r="O115" s="6">
        <v>103.886</v>
      </c>
      <c r="P115" s="6">
        <v>39</v>
      </c>
      <c r="Q115" s="4" t="s">
        <v>26</v>
      </c>
      <c r="R115" s="4">
        <v>0</v>
      </c>
      <c r="S115" s="4" t="s">
        <v>148</v>
      </c>
      <c r="T115" s="4" t="s">
        <v>238</v>
      </c>
      <c r="U115" s="4">
        <v>0</v>
      </c>
      <c r="V115" s="4">
        <v>42</v>
      </c>
      <c r="W115" s="4">
        <v>50</v>
      </c>
    </row>
    <row r="116" spans="1:23" ht="11.25" customHeight="1" x14ac:dyDescent="0.25">
      <c r="A116" s="4" t="s">
        <v>27</v>
      </c>
      <c r="B116" s="4" t="s">
        <v>28</v>
      </c>
      <c r="C116" s="4" t="s">
        <v>23</v>
      </c>
      <c r="D116" s="4" t="s">
        <v>29</v>
      </c>
      <c r="E116" s="4" t="s">
        <v>25</v>
      </c>
      <c r="F116" s="4" t="s">
        <v>25</v>
      </c>
      <c r="G116" s="4" t="s">
        <v>25</v>
      </c>
      <c r="H116" s="4" t="s">
        <v>25</v>
      </c>
      <c r="I116" s="5">
        <v>44501</v>
      </c>
      <c r="J116" s="6">
        <v>0</v>
      </c>
      <c r="K116" s="6">
        <v>0</v>
      </c>
      <c r="L116" s="6">
        <v>21.172000000000001</v>
      </c>
      <c r="M116" s="6">
        <v>21.172000000000001</v>
      </c>
      <c r="N116" s="6">
        <v>21.172000000000001</v>
      </c>
      <c r="O116" s="6">
        <v>21.172000000000001</v>
      </c>
      <c r="P116" s="6">
        <v>9</v>
      </c>
      <c r="Q116" s="4" t="s">
        <v>26</v>
      </c>
      <c r="R116" s="4">
        <v>0</v>
      </c>
      <c r="S116" s="4" t="s">
        <v>148</v>
      </c>
      <c r="T116" s="4" t="s">
        <v>238</v>
      </c>
      <c r="U116" s="4">
        <v>0</v>
      </c>
      <c r="V116" s="4">
        <v>42</v>
      </c>
      <c r="W116" s="4">
        <v>50</v>
      </c>
    </row>
    <row r="117" spans="1:23" ht="11.25" customHeight="1" x14ac:dyDescent="0.25">
      <c r="A117" s="4" t="s">
        <v>21</v>
      </c>
      <c r="B117" s="4" t="s">
        <v>28</v>
      </c>
      <c r="C117" s="4" t="s">
        <v>23</v>
      </c>
      <c r="D117" s="4" t="s">
        <v>29</v>
      </c>
      <c r="E117" s="4" t="s">
        <v>25</v>
      </c>
      <c r="F117" s="4" t="s">
        <v>25</v>
      </c>
      <c r="G117" s="4" t="s">
        <v>25</v>
      </c>
      <c r="H117" s="4" t="s">
        <v>25</v>
      </c>
      <c r="I117" s="5">
        <v>44531</v>
      </c>
      <c r="J117" s="6">
        <v>0</v>
      </c>
      <c r="K117" s="6">
        <v>0</v>
      </c>
      <c r="L117" s="6">
        <v>106.105</v>
      </c>
      <c r="M117" s="6">
        <v>106.105</v>
      </c>
      <c r="N117" s="6">
        <v>106.105</v>
      </c>
      <c r="O117" s="6">
        <v>106.105</v>
      </c>
      <c r="P117" s="6">
        <v>38</v>
      </c>
      <c r="Q117" s="4" t="s">
        <v>26</v>
      </c>
      <c r="R117" s="4">
        <v>0</v>
      </c>
      <c r="S117" s="4" t="s">
        <v>149</v>
      </c>
      <c r="T117" s="4" t="s">
        <v>239</v>
      </c>
      <c r="U117" s="4">
        <v>0</v>
      </c>
      <c r="V117" s="4">
        <v>42</v>
      </c>
      <c r="W117" s="4">
        <v>50</v>
      </c>
    </row>
    <row r="118" spans="1:23" ht="11.25" customHeight="1" x14ac:dyDescent="0.25">
      <c r="A118" s="4" t="s">
        <v>27</v>
      </c>
      <c r="B118" s="4" t="s">
        <v>28</v>
      </c>
      <c r="C118" s="4" t="s">
        <v>23</v>
      </c>
      <c r="D118" s="4" t="s">
        <v>29</v>
      </c>
      <c r="E118" s="4" t="s">
        <v>25</v>
      </c>
      <c r="F118" s="4" t="s">
        <v>25</v>
      </c>
      <c r="G118" s="4" t="s">
        <v>25</v>
      </c>
      <c r="H118" s="4" t="s">
        <v>25</v>
      </c>
      <c r="I118" s="5">
        <v>44531</v>
      </c>
      <c r="J118" s="6">
        <v>0</v>
      </c>
      <c r="K118" s="6">
        <v>0</v>
      </c>
      <c r="L118" s="6">
        <v>22.609000000000002</v>
      </c>
      <c r="M118" s="6">
        <v>22.609000000000002</v>
      </c>
      <c r="N118" s="6">
        <v>22.609000000000002</v>
      </c>
      <c r="O118" s="6">
        <v>22.609000000000002</v>
      </c>
      <c r="P118" s="6">
        <v>9</v>
      </c>
      <c r="Q118" s="4" t="s">
        <v>26</v>
      </c>
      <c r="R118" s="4">
        <v>0</v>
      </c>
      <c r="S118" s="4" t="s">
        <v>149</v>
      </c>
      <c r="T118" s="4" t="s">
        <v>239</v>
      </c>
      <c r="U118" s="4">
        <v>0</v>
      </c>
      <c r="V118" s="4">
        <v>42</v>
      </c>
      <c r="W118" s="4">
        <v>50</v>
      </c>
    </row>
    <row r="119" spans="1:23" ht="11.25" customHeight="1" x14ac:dyDescent="0.25">
      <c r="A119" s="4" t="s">
        <v>21</v>
      </c>
      <c r="B119" s="4" t="s">
        <v>28</v>
      </c>
      <c r="C119" s="4" t="s">
        <v>23</v>
      </c>
      <c r="D119" s="4" t="s">
        <v>29</v>
      </c>
      <c r="E119" s="4" t="s">
        <v>25</v>
      </c>
      <c r="F119" s="4" t="s">
        <v>25</v>
      </c>
      <c r="G119" s="4" t="s">
        <v>25</v>
      </c>
      <c r="H119" s="4" t="s">
        <v>25</v>
      </c>
      <c r="I119" s="5">
        <v>44562</v>
      </c>
      <c r="J119" s="6">
        <v>0</v>
      </c>
      <c r="K119" s="6">
        <v>0</v>
      </c>
      <c r="L119" s="6">
        <v>77.126000000000005</v>
      </c>
      <c r="M119" s="6">
        <v>77.126000000000005</v>
      </c>
      <c r="N119" s="6">
        <v>77.126000000000005</v>
      </c>
      <c r="O119" s="6">
        <v>77.126000000000005</v>
      </c>
      <c r="P119" s="6">
        <v>38</v>
      </c>
      <c r="Q119" s="4" t="s">
        <v>26</v>
      </c>
      <c r="R119" s="4">
        <v>0</v>
      </c>
      <c r="S119" s="4" t="s">
        <v>150</v>
      </c>
      <c r="T119" s="4" t="s">
        <v>240</v>
      </c>
      <c r="U119" s="4">
        <v>0</v>
      </c>
      <c r="V119" s="4">
        <v>42</v>
      </c>
      <c r="W119" s="4">
        <v>50</v>
      </c>
    </row>
    <row r="120" spans="1:23" ht="11.25" customHeight="1" x14ac:dyDescent="0.25">
      <c r="A120" s="4" t="s">
        <v>27</v>
      </c>
      <c r="B120" s="4" t="s">
        <v>28</v>
      </c>
      <c r="C120" s="4" t="s">
        <v>23</v>
      </c>
      <c r="D120" s="4" t="s">
        <v>29</v>
      </c>
      <c r="E120" s="4" t="s">
        <v>25</v>
      </c>
      <c r="F120" s="4" t="s">
        <v>25</v>
      </c>
      <c r="G120" s="4" t="s">
        <v>25</v>
      </c>
      <c r="H120" s="4" t="s">
        <v>25</v>
      </c>
      <c r="I120" s="5">
        <v>44562</v>
      </c>
      <c r="J120" s="6">
        <v>0</v>
      </c>
      <c r="K120" s="6">
        <v>0</v>
      </c>
      <c r="L120" s="6">
        <v>23.321000000000002</v>
      </c>
      <c r="M120" s="6">
        <v>23.321000000000002</v>
      </c>
      <c r="N120" s="6">
        <v>23.321000000000002</v>
      </c>
      <c r="O120" s="6">
        <v>23.321000000000002</v>
      </c>
      <c r="P120" s="6">
        <v>9</v>
      </c>
      <c r="Q120" s="4" t="s">
        <v>26</v>
      </c>
      <c r="R120" s="4">
        <v>0</v>
      </c>
      <c r="S120" s="4" t="s">
        <v>150</v>
      </c>
      <c r="T120" s="4" t="s">
        <v>240</v>
      </c>
      <c r="U120" s="4">
        <v>0</v>
      </c>
      <c r="V120" s="4">
        <v>42</v>
      </c>
      <c r="W120" s="4">
        <v>50</v>
      </c>
    </row>
    <row r="121" spans="1:23" ht="11.25" customHeight="1" x14ac:dyDescent="0.25">
      <c r="A121" s="4" t="s">
        <v>21</v>
      </c>
      <c r="B121" s="4" t="s">
        <v>28</v>
      </c>
      <c r="C121" s="4" t="s">
        <v>23</v>
      </c>
      <c r="D121" s="4" t="s">
        <v>29</v>
      </c>
      <c r="E121" s="4" t="s">
        <v>25</v>
      </c>
      <c r="F121" s="4" t="s">
        <v>25</v>
      </c>
      <c r="G121" s="4" t="s">
        <v>25</v>
      </c>
      <c r="H121" s="4" t="s">
        <v>25</v>
      </c>
      <c r="I121" s="5">
        <v>44593</v>
      </c>
      <c r="J121" s="6">
        <v>0</v>
      </c>
      <c r="K121" s="6">
        <v>0</v>
      </c>
      <c r="L121" s="6">
        <v>96.763999999999996</v>
      </c>
      <c r="M121" s="6">
        <v>96.763999999999996</v>
      </c>
      <c r="N121" s="6">
        <v>96.763999999999996</v>
      </c>
      <c r="O121" s="6">
        <v>96.763999999999996</v>
      </c>
      <c r="P121" s="6">
        <v>38</v>
      </c>
      <c r="Q121" s="4" t="s">
        <v>26</v>
      </c>
      <c r="R121" s="4">
        <v>0</v>
      </c>
      <c r="S121" s="4" t="s">
        <v>151</v>
      </c>
      <c r="T121" s="4" t="s">
        <v>241</v>
      </c>
      <c r="U121" s="4">
        <v>0</v>
      </c>
      <c r="V121" s="4">
        <v>42</v>
      </c>
      <c r="W121" s="4">
        <v>50</v>
      </c>
    </row>
    <row r="122" spans="1:23" ht="11.25" customHeight="1" x14ac:dyDescent="0.25">
      <c r="A122" s="4" t="s">
        <v>27</v>
      </c>
      <c r="B122" s="4" t="s">
        <v>28</v>
      </c>
      <c r="C122" s="4" t="s">
        <v>23</v>
      </c>
      <c r="D122" s="4" t="s">
        <v>29</v>
      </c>
      <c r="E122" s="4" t="s">
        <v>25</v>
      </c>
      <c r="F122" s="4" t="s">
        <v>25</v>
      </c>
      <c r="G122" s="4" t="s">
        <v>25</v>
      </c>
      <c r="H122" s="4" t="s">
        <v>25</v>
      </c>
      <c r="I122" s="5">
        <v>44593</v>
      </c>
      <c r="J122" s="6">
        <v>0</v>
      </c>
      <c r="K122" s="6">
        <v>0</v>
      </c>
      <c r="L122" s="6">
        <v>22.715</v>
      </c>
      <c r="M122" s="6">
        <v>22.715</v>
      </c>
      <c r="N122" s="6">
        <v>22.715</v>
      </c>
      <c r="O122" s="6">
        <v>22.715</v>
      </c>
      <c r="P122" s="6">
        <v>11</v>
      </c>
      <c r="Q122" s="4" t="s">
        <v>26</v>
      </c>
      <c r="R122" s="4">
        <v>0</v>
      </c>
      <c r="S122" s="4" t="s">
        <v>151</v>
      </c>
      <c r="T122" s="4" t="s">
        <v>241</v>
      </c>
      <c r="U122" s="4">
        <v>0</v>
      </c>
      <c r="V122" s="4">
        <v>42</v>
      </c>
      <c r="W122" s="4">
        <v>50</v>
      </c>
    </row>
    <row r="123" spans="1:23" ht="11.25" customHeight="1" x14ac:dyDescent="0.25">
      <c r="A123" s="4" t="s">
        <v>21</v>
      </c>
      <c r="B123" s="4" t="s">
        <v>28</v>
      </c>
      <c r="C123" s="4" t="s">
        <v>23</v>
      </c>
      <c r="D123" s="4" t="s">
        <v>29</v>
      </c>
      <c r="E123" s="4" t="s">
        <v>25</v>
      </c>
      <c r="F123" s="4" t="s">
        <v>25</v>
      </c>
      <c r="G123" s="4" t="s">
        <v>25</v>
      </c>
      <c r="H123" s="4" t="s">
        <v>25</v>
      </c>
      <c r="I123" s="5">
        <v>44621</v>
      </c>
      <c r="J123" s="6">
        <v>0</v>
      </c>
      <c r="K123" s="6">
        <v>0</v>
      </c>
      <c r="L123" s="6">
        <v>94.58</v>
      </c>
      <c r="M123" s="6">
        <v>94.58</v>
      </c>
      <c r="N123" s="6">
        <v>94.58</v>
      </c>
      <c r="O123" s="6">
        <v>94.58</v>
      </c>
      <c r="P123" s="6">
        <v>38</v>
      </c>
      <c r="Q123" s="4" t="s">
        <v>26</v>
      </c>
      <c r="R123" s="4">
        <v>0</v>
      </c>
      <c r="S123" s="4" t="s">
        <v>152</v>
      </c>
      <c r="T123" s="4" t="s">
        <v>242</v>
      </c>
      <c r="U123" s="4">
        <v>0</v>
      </c>
      <c r="V123" s="4">
        <v>42</v>
      </c>
      <c r="W123" s="4">
        <v>50</v>
      </c>
    </row>
    <row r="124" spans="1:23" ht="11.25" customHeight="1" x14ac:dyDescent="0.25">
      <c r="A124" s="4" t="s">
        <v>27</v>
      </c>
      <c r="B124" s="4" t="s">
        <v>28</v>
      </c>
      <c r="C124" s="4" t="s">
        <v>23</v>
      </c>
      <c r="D124" s="4" t="s">
        <v>29</v>
      </c>
      <c r="E124" s="4" t="s">
        <v>25</v>
      </c>
      <c r="F124" s="4" t="s">
        <v>25</v>
      </c>
      <c r="G124" s="4" t="s">
        <v>25</v>
      </c>
      <c r="H124" s="4" t="s">
        <v>25</v>
      </c>
      <c r="I124" s="5">
        <v>44621</v>
      </c>
      <c r="J124" s="6">
        <v>0</v>
      </c>
      <c r="K124" s="6">
        <v>0</v>
      </c>
      <c r="L124" s="6">
        <v>27.481999999999999</v>
      </c>
      <c r="M124" s="6">
        <v>27.481999999999999</v>
      </c>
      <c r="N124" s="6">
        <v>27.481999999999999</v>
      </c>
      <c r="O124" s="6">
        <v>27.481999999999999</v>
      </c>
      <c r="P124" s="6">
        <v>11</v>
      </c>
      <c r="Q124" s="4" t="s">
        <v>26</v>
      </c>
      <c r="R124" s="4">
        <v>0</v>
      </c>
      <c r="S124" s="4" t="s">
        <v>152</v>
      </c>
      <c r="T124" s="4" t="s">
        <v>242</v>
      </c>
      <c r="U124" s="4">
        <v>0</v>
      </c>
      <c r="V124" s="4">
        <v>42</v>
      </c>
      <c r="W124" s="4">
        <v>50</v>
      </c>
    </row>
    <row r="125" spans="1:23" ht="11.25" customHeight="1" x14ac:dyDescent="0.25">
      <c r="A125" s="4" t="s">
        <v>21</v>
      </c>
      <c r="B125" s="4" t="s">
        <v>28</v>
      </c>
      <c r="C125" s="4" t="s">
        <v>23</v>
      </c>
      <c r="D125" s="4" t="s">
        <v>29</v>
      </c>
      <c r="E125" s="4" t="s">
        <v>25</v>
      </c>
      <c r="F125" s="4" t="s">
        <v>25</v>
      </c>
      <c r="G125" s="4" t="s">
        <v>25</v>
      </c>
      <c r="H125" s="4" t="s">
        <v>25</v>
      </c>
      <c r="I125" s="5">
        <v>44652</v>
      </c>
      <c r="J125" s="6">
        <v>0</v>
      </c>
      <c r="K125" s="6">
        <v>0</v>
      </c>
      <c r="L125" s="6">
        <v>95.132000000000005</v>
      </c>
      <c r="M125" s="6">
        <v>95.132000000000005</v>
      </c>
      <c r="N125" s="6">
        <v>95.132000000000005</v>
      </c>
      <c r="O125" s="6">
        <v>95.132000000000005</v>
      </c>
      <c r="P125" s="6">
        <v>39</v>
      </c>
      <c r="Q125" s="4" t="s">
        <v>26</v>
      </c>
      <c r="R125" s="4">
        <v>0</v>
      </c>
      <c r="S125" s="4" t="s">
        <v>153</v>
      </c>
      <c r="T125" s="4" t="s">
        <v>243</v>
      </c>
      <c r="U125" s="4">
        <v>0</v>
      </c>
      <c r="V125" s="4">
        <v>42</v>
      </c>
      <c r="W125" s="4">
        <v>50</v>
      </c>
    </row>
    <row r="126" spans="1:23" ht="11.25" customHeight="1" x14ac:dyDescent="0.25">
      <c r="A126" s="4" t="s">
        <v>27</v>
      </c>
      <c r="B126" s="4" t="s">
        <v>28</v>
      </c>
      <c r="C126" s="4" t="s">
        <v>23</v>
      </c>
      <c r="D126" s="4" t="s">
        <v>29</v>
      </c>
      <c r="E126" s="4" t="s">
        <v>25</v>
      </c>
      <c r="F126" s="4" t="s">
        <v>25</v>
      </c>
      <c r="G126" s="4" t="s">
        <v>25</v>
      </c>
      <c r="H126" s="4" t="s">
        <v>25</v>
      </c>
      <c r="I126" s="5">
        <v>44652</v>
      </c>
      <c r="J126" s="6">
        <v>0</v>
      </c>
      <c r="K126" s="6">
        <v>0</v>
      </c>
      <c r="L126" s="6">
        <v>25.611000000000001</v>
      </c>
      <c r="M126" s="6">
        <v>25.611000000000001</v>
      </c>
      <c r="N126" s="6">
        <v>25.611000000000001</v>
      </c>
      <c r="O126" s="6">
        <v>25.611000000000001</v>
      </c>
      <c r="P126" s="6">
        <v>11</v>
      </c>
      <c r="Q126" s="4" t="s">
        <v>26</v>
      </c>
      <c r="R126" s="4">
        <v>0</v>
      </c>
      <c r="S126" s="4" t="s">
        <v>153</v>
      </c>
      <c r="T126" s="4" t="s">
        <v>243</v>
      </c>
      <c r="U126" s="4">
        <v>0</v>
      </c>
      <c r="V126" s="4">
        <v>42</v>
      </c>
      <c r="W126" s="4">
        <v>50</v>
      </c>
    </row>
    <row r="127" spans="1:23" ht="11.25" customHeight="1" x14ac:dyDescent="0.25">
      <c r="A127" s="4" t="s">
        <v>21</v>
      </c>
      <c r="B127" s="4" t="s">
        <v>28</v>
      </c>
      <c r="C127" s="4" t="s">
        <v>23</v>
      </c>
      <c r="D127" s="4" t="s">
        <v>29</v>
      </c>
      <c r="E127" s="4" t="s">
        <v>25</v>
      </c>
      <c r="F127" s="4" t="s">
        <v>25</v>
      </c>
      <c r="G127" s="4" t="s">
        <v>25</v>
      </c>
      <c r="H127" s="4" t="s">
        <v>25</v>
      </c>
      <c r="I127" s="5">
        <v>44682</v>
      </c>
      <c r="J127" s="6">
        <v>0</v>
      </c>
      <c r="K127" s="6">
        <v>0</v>
      </c>
      <c r="L127" s="6">
        <v>101.538</v>
      </c>
      <c r="M127" s="6">
        <v>101.538</v>
      </c>
      <c r="N127" s="6">
        <v>101.538</v>
      </c>
      <c r="O127" s="6">
        <v>101.538</v>
      </c>
      <c r="P127" s="6">
        <v>39</v>
      </c>
      <c r="Q127" s="4" t="s">
        <v>26</v>
      </c>
      <c r="R127" s="4">
        <v>0</v>
      </c>
      <c r="S127" s="4" t="s">
        <v>154</v>
      </c>
      <c r="T127" s="4" t="s">
        <v>244</v>
      </c>
      <c r="U127" s="4">
        <v>0</v>
      </c>
      <c r="V127" s="4">
        <v>42</v>
      </c>
      <c r="W127" s="4">
        <v>50</v>
      </c>
    </row>
    <row r="128" spans="1:23" ht="11.25" customHeight="1" x14ac:dyDescent="0.25">
      <c r="A128" s="4" t="s">
        <v>27</v>
      </c>
      <c r="B128" s="4" t="s">
        <v>28</v>
      </c>
      <c r="C128" s="4" t="s">
        <v>23</v>
      </c>
      <c r="D128" s="4" t="s">
        <v>29</v>
      </c>
      <c r="E128" s="4" t="s">
        <v>25</v>
      </c>
      <c r="F128" s="4" t="s">
        <v>25</v>
      </c>
      <c r="G128" s="4" t="s">
        <v>25</v>
      </c>
      <c r="H128" s="4" t="s">
        <v>25</v>
      </c>
      <c r="I128" s="5">
        <v>44682</v>
      </c>
      <c r="J128" s="6">
        <v>0</v>
      </c>
      <c r="K128" s="6">
        <v>0</v>
      </c>
      <c r="L128" s="6">
        <v>28.706</v>
      </c>
      <c r="M128" s="6">
        <v>28.706</v>
      </c>
      <c r="N128" s="6">
        <v>28.706</v>
      </c>
      <c r="O128" s="6">
        <v>28.706</v>
      </c>
      <c r="P128" s="6">
        <v>12</v>
      </c>
      <c r="Q128" s="4" t="s">
        <v>26</v>
      </c>
      <c r="R128" s="4">
        <v>0</v>
      </c>
      <c r="S128" s="4" t="s">
        <v>154</v>
      </c>
      <c r="T128" s="4" t="s">
        <v>244</v>
      </c>
      <c r="U128" s="4">
        <v>0</v>
      </c>
      <c r="V128" s="4">
        <v>42</v>
      </c>
      <c r="W128" s="4">
        <v>50</v>
      </c>
    </row>
    <row r="129" spans="1:23" ht="11.25" customHeight="1" x14ac:dyDescent="0.25">
      <c r="A129" s="4" t="s">
        <v>21</v>
      </c>
      <c r="B129" s="4" t="s">
        <v>28</v>
      </c>
      <c r="C129" s="4" t="s">
        <v>23</v>
      </c>
      <c r="D129" s="4" t="s">
        <v>29</v>
      </c>
      <c r="E129" s="4" t="s">
        <v>25</v>
      </c>
      <c r="F129" s="4" t="s">
        <v>25</v>
      </c>
      <c r="G129" s="4" t="s">
        <v>25</v>
      </c>
      <c r="H129" s="4" t="s">
        <v>25</v>
      </c>
      <c r="I129" s="5">
        <v>44713</v>
      </c>
      <c r="J129" s="6">
        <v>0</v>
      </c>
      <c r="K129" s="6">
        <v>0</v>
      </c>
      <c r="L129" s="6">
        <v>105.83799999999999</v>
      </c>
      <c r="M129" s="6">
        <v>105.83799999999999</v>
      </c>
      <c r="N129" s="6">
        <v>105.83799999999999</v>
      </c>
      <c r="O129" s="6">
        <v>105.83799999999999</v>
      </c>
      <c r="P129" s="6">
        <v>39</v>
      </c>
      <c r="Q129" s="4" t="s">
        <v>26</v>
      </c>
      <c r="R129" s="4">
        <v>0</v>
      </c>
      <c r="S129" s="4" t="s">
        <v>155</v>
      </c>
      <c r="T129" s="4" t="s">
        <v>245</v>
      </c>
      <c r="U129" s="4">
        <v>0</v>
      </c>
      <c r="V129" s="4">
        <v>42</v>
      </c>
      <c r="W129" s="4">
        <v>50</v>
      </c>
    </row>
    <row r="130" spans="1:23" ht="11.25" customHeight="1" x14ac:dyDescent="0.25">
      <c r="A130" s="4" t="s">
        <v>27</v>
      </c>
      <c r="B130" s="4" t="s">
        <v>28</v>
      </c>
      <c r="C130" s="4" t="s">
        <v>23</v>
      </c>
      <c r="D130" s="4" t="s">
        <v>29</v>
      </c>
      <c r="E130" s="4" t="s">
        <v>25</v>
      </c>
      <c r="F130" s="4" t="s">
        <v>25</v>
      </c>
      <c r="G130" s="4" t="s">
        <v>25</v>
      </c>
      <c r="H130" s="4" t="s">
        <v>25</v>
      </c>
      <c r="I130" s="5">
        <v>44713</v>
      </c>
      <c r="J130" s="6">
        <v>0</v>
      </c>
      <c r="K130" s="6">
        <v>0</v>
      </c>
      <c r="L130" s="6">
        <v>24.542999999999999</v>
      </c>
      <c r="M130" s="6">
        <v>24.542999999999999</v>
      </c>
      <c r="N130" s="6">
        <v>24.542999999999999</v>
      </c>
      <c r="O130" s="6">
        <v>24.542999999999999</v>
      </c>
      <c r="P130" s="6">
        <v>12</v>
      </c>
      <c r="Q130" s="4" t="s">
        <v>26</v>
      </c>
      <c r="R130" s="4">
        <v>0</v>
      </c>
      <c r="S130" s="4" t="s">
        <v>155</v>
      </c>
      <c r="T130" s="4" t="s">
        <v>245</v>
      </c>
      <c r="U130" s="4">
        <v>0</v>
      </c>
      <c r="V130" s="4">
        <v>42</v>
      </c>
      <c r="W130" s="4">
        <v>50</v>
      </c>
    </row>
    <row r="131" spans="1:23" ht="11.25" customHeight="1" x14ac:dyDescent="0.25">
      <c r="A131" s="4" t="s">
        <v>21</v>
      </c>
      <c r="B131" s="4" t="s">
        <v>28</v>
      </c>
      <c r="C131" s="4" t="s">
        <v>23</v>
      </c>
      <c r="D131" s="4" t="s">
        <v>29</v>
      </c>
      <c r="E131" s="4" t="s">
        <v>25</v>
      </c>
      <c r="F131" s="4" t="s">
        <v>25</v>
      </c>
      <c r="G131" s="4" t="s">
        <v>25</v>
      </c>
      <c r="H131" s="4" t="s">
        <v>25</v>
      </c>
      <c r="I131" s="5">
        <v>44743</v>
      </c>
      <c r="J131" s="6">
        <v>0</v>
      </c>
      <c r="K131" s="6">
        <v>0</v>
      </c>
      <c r="L131" s="6">
        <v>105.145</v>
      </c>
      <c r="M131" s="6">
        <v>105.145</v>
      </c>
      <c r="N131" s="6">
        <v>105.145</v>
      </c>
      <c r="O131" s="6">
        <v>105.145</v>
      </c>
      <c r="P131" s="6">
        <v>39</v>
      </c>
      <c r="Q131" s="4" t="s">
        <v>26</v>
      </c>
      <c r="R131" s="4">
        <v>0</v>
      </c>
      <c r="S131" s="4" t="s">
        <v>156</v>
      </c>
      <c r="T131" s="4" t="s">
        <v>246</v>
      </c>
      <c r="U131" s="4">
        <v>0</v>
      </c>
      <c r="V131" s="4">
        <v>42</v>
      </c>
      <c r="W131" s="4">
        <v>50</v>
      </c>
    </row>
    <row r="132" spans="1:23" ht="11.25" customHeight="1" x14ac:dyDescent="0.25">
      <c r="A132" s="4" t="s">
        <v>27</v>
      </c>
      <c r="B132" s="4" t="s">
        <v>28</v>
      </c>
      <c r="C132" s="4" t="s">
        <v>23</v>
      </c>
      <c r="D132" s="4" t="s">
        <v>29</v>
      </c>
      <c r="E132" s="4" t="s">
        <v>25</v>
      </c>
      <c r="F132" s="4" t="s">
        <v>25</v>
      </c>
      <c r="G132" s="4" t="s">
        <v>25</v>
      </c>
      <c r="H132" s="4" t="s">
        <v>25</v>
      </c>
      <c r="I132" s="5">
        <v>44743</v>
      </c>
      <c r="J132" s="6">
        <v>0</v>
      </c>
      <c r="K132" s="6">
        <v>0</v>
      </c>
      <c r="L132" s="6">
        <v>22.960999999999999</v>
      </c>
      <c r="M132" s="6">
        <v>22.960999999999999</v>
      </c>
      <c r="N132" s="6">
        <v>22.960999999999999</v>
      </c>
      <c r="O132" s="6">
        <v>22.960999999999999</v>
      </c>
      <c r="P132" s="6">
        <v>12</v>
      </c>
      <c r="Q132" s="4" t="s">
        <v>26</v>
      </c>
      <c r="R132" s="4">
        <v>0</v>
      </c>
      <c r="S132" s="4" t="s">
        <v>156</v>
      </c>
      <c r="T132" s="4" t="s">
        <v>246</v>
      </c>
      <c r="U132" s="4">
        <v>0</v>
      </c>
      <c r="V132" s="4">
        <v>42</v>
      </c>
      <c r="W132" s="4">
        <v>50</v>
      </c>
    </row>
    <row r="133" spans="1:23" ht="11.25" customHeight="1" x14ac:dyDescent="0.25">
      <c r="A133" s="4" t="s">
        <v>21</v>
      </c>
      <c r="B133" s="4" t="s">
        <v>28</v>
      </c>
      <c r="C133" s="4" t="s">
        <v>23</v>
      </c>
      <c r="D133" s="4" t="s">
        <v>29</v>
      </c>
      <c r="E133" s="4" t="s">
        <v>25</v>
      </c>
      <c r="F133" s="4" t="s">
        <v>25</v>
      </c>
      <c r="G133" s="4" t="s">
        <v>25</v>
      </c>
      <c r="H133" s="4" t="s">
        <v>25</v>
      </c>
      <c r="I133" s="5">
        <v>44774</v>
      </c>
      <c r="J133" s="6">
        <v>0</v>
      </c>
      <c r="K133" s="6">
        <v>0</v>
      </c>
      <c r="L133" s="6">
        <v>111.16500000000001</v>
      </c>
      <c r="M133" s="6">
        <v>111.16500000000001</v>
      </c>
      <c r="N133" s="6">
        <v>111.16500000000001</v>
      </c>
      <c r="O133" s="6">
        <v>111.16500000000001</v>
      </c>
      <c r="P133" s="6">
        <v>39</v>
      </c>
      <c r="Q133" s="4" t="s">
        <v>26</v>
      </c>
      <c r="R133" s="4">
        <v>0</v>
      </c>
      <c r="S133" s="4" t="s">
        <v>157</v>
      </c>
      <c r="T133" s="4" t="s">
        <v>247</v>
      </c>
      <c r="U133" s="4">
        <v>0</v>
      </c>
      <c r="V133" s="4">
        <v>42</v>
      </c>
      <c r="W133" s="4">
        <v>50</v>
      </c>
    </row>
    <row r="134" spans="1:23" ht="11.25" customHeight="1" x14ac:dyDescent="0.25">
      <c r="A134" s="4" t="s">
        <v>27</v>
      </c>
      <c r="B134" s="4" t="s">
        <v>28</v>
      </c>
      <c r="C134" s="4" t="s">
        <v>23</v>
      </c>
      <c r="D134" s="4" t="s">
        <v>29</v>
      </c>
      <c r="E134" s="4" t="s">
        <v>25</v>
      </c>
      <c r="F134" s="4" t="s">
        <v>25</v>
      </c>
      <c r="G134" s="4" t="s">
        <v>25</v>
      </c>
      <c r="H134" s="4" t="s">
        <v>25</v>
      </c>
      <c r="I134" s="5">
        <v>44774</v>
      </c>
      <c r="J134" s="6">
        <v>0</v>
      </c>
      <c r="K134" s="6">
        <v>0</v>
      </c>
      <c r="L134" s="6">
        <v>23.382999999999999</v>
      </c>
      <c r="M134" s="6">
        <v>23.382999999999999</v>
      </c>
      <c r="N134" s="6">
        <v>23.382999999999999</v>
      </c>
      <c r="O134" s="6">
        <v>23.382999999999999</v>
      </c>
      <c r="P134" s="6">
        <v>12</v>
      </c>
      <c r="Q134" s="4" t="s">
        <v>26</v>
      </c>
      <c r="R134" s="4">
        <v>0</v>
      </c>
      <c r="S134" s="4" t="s">
        <v>157</v>
      </c>
      <c r="T134" s="4" t="s">
        <v>247</v>
      </c>
      <c r="U134" s="4">
        <v>0</v>
      </c>
      <c r="V134" s="4">
        <v>42</v>
      </c>
      <c r="W134" s="4">
        <v>50</v>
      </c>
    </row>
    <row r="135" spans="1:23" ht="11.25" customHeight="1" x14ac:dyDescent="0.25">
      <c r="A135" s="4" t="s">
        <v>21</v>
      </c>
      <c r="B135" s="4" t="s">
        <v>28</v>
      </c>
      <c r="C135" s="4" t="s">
        <v>23</v>
      </c>
      <c r="D135" s="4" t="s">
        <v>29</v>
      </c>
      <c r="E135" s="4" t="s">
        <v>25</v>
      </c>
      <c r="F135" s="4" t="s">
        <v>25</v>
      </c>
      <c r="G135" s="4" t="s">
        <v>25</v>
      </c>
      <c r="H135" s="4" t="s">
        <v>25</v>
      </c>
      <c r="I135" s="5">
        <v>44805</v>
      </c>
      <c r="J135" s="6">
        <v>0</v>
      </c>
      <c r="K135" s="6">
        <v>0</v>
      </c>
      <c r="L135" s="6">
        <v>93.433999999999997</v>
      </c>
      <c r="M135" s="6">
        <v>93.433999999999997</v>
      </c>
      <c r="N135" s="6">
        <v>93.433999999999997</v>
      </c>
      <c r="O135" s="6">
        <v>93.433999999999997</v>
      </c>
      <c r="P135" s="6">
        <v>40</v>
      </c>
      <c r="Q135" s="4" t="s">
        <v>26</v>
      </c>
      <c r="R135" s="4">
        <v>0</v>
      </c>
      <c r="S135" s="4" t="s">
        <v>158</v>
      </c>
      <c r="T135" s="4" t="s">
        <v>248</v>
      </c>
      <c r="U135" s="4">
        <v>0</v>
      </c>
      <c r="V135" s="4">
        <v>42</v>
      </c>
      <c r="W135" s="4">
        <v>50</v>
      </c>
    </row>
    <row r="136" spans="1:23" ht="11.25" customHeight="1" x14ac:dyDescent="0.25">
      <c r="A136" s="4" t="s">
        <v>27</v>
      </c>
      <c r="B136" s="4" t="s">
        <v>28</v>
      </c>
      <c r="C136" s="4" t="s">
        <v>23</v>
      </c>
      <c r="D136" s="4" t="s">
        <v>29</v>
      </c>
      <c r="E136" s="4" t="s">
        <v>25</v>
      </c>
      <c r="F136" s="4" t="s">
        <v>25</v>
      </c>
      <c r="G136" s="4" t="s">
        <v>25</v>
      </c>
      <c r="H136" s="4" t="s">
        <v>25</v>
      </c>
      <c r="I136" s="5">
        <v>44805</v>
      </c>
      <c r="J136" s="6">
        <v>0</v>
      </c>
      <c r="K136" s="6">
        <v>0</v>
      </c>
      <c r="L136" s="6">
        <v>23.619</v>
      </c>
      <c r="M136" s="6">
        <v>23.619</v>
      </c>
      <c r="N136" s="6">
        <v>23.619</v>
      </c>
      <c r="O136" s="6">
        <v>23.619</v>
      </c>
      <c r="P136" s="6">
        <v>12</v>
      </c>
      <c r="Q136" s="4" t="s">
        <v>26</v>
      </c>
      <c r="R136" s="4">
        <v>0</v>
      </c>
      <c r="S136" s="4" t="s">
        <v>158</v>
      </c>
      <c r="T136" s="4" t="s">
        <v>248</v>
      </c>
      <c r="U136" s="4">
        <v>0</v>
      </c>
      <c r="V136" s="4">
        <v>42</v>
      </c>
      <c r="W136" s="4">
        <v>50</v>
      </c>
    </row>
    <row r="137" spans="1:23" ht="11.25" customHeight="1" x14ac:dyDescent="0.25">
      <c r="A137" s="4" t="s">
        <v>21</v>
      </c>
      <c r="B137" s="4" t="s">
        <v>28</v>
      </c>
      <c r="C137" s="4" t="s">
        <v>23</v>
      </c>
      <c r="D137" s="4" t="s">
        <v>29</v>
      </c>
      <c r="E137" s="4" t="s">
        <v>25</v>
      </c>
      <c r="F137" s="4" t="s">
        <v>25</v>
      </c>
      <c r="G137" s="4" t="s">
        <v>25</v>
      </c>
      <c r="H137" s="4" t="s">
        <v>25</v>
      </c>
      <c r="I137" s="5">
        <v>44835</v>
      </c>
      <c r="J137" s="6">
        <v>0</v>
      </c>
      <c r="K137" s="6">
        <v>0</v>
      </c>
      <c r="L137" s="6">
        <v>108.60299999999999</v>
      </c>
      <c r="M137" s="6">
        <v>108.60299999999999</v>
      </c>
      <c r="N137" s="6">
        <v>108.60299999999999</v>
      </c>
      <c r="O137" s="6">
        <v>108.60299999999999</v>
      </c>
      <c r="P137" s="6">
        <v>40</v>
      </c>
      <c r="Q137" s="4" t="s">
        <v>26</v>
      </c>
      <c r="R137" s="4">
        <v>0</v>
      </c>
      <c r="S137" s="4" t="s">
        <v>159</v>
      </c>
      <c r="T137" s="4" t="s">
        <v>249</v>
      </c>
      <c r="U137" s="4">
        <v>0</v>
      </c>
      <c r="V137" s="4">
        <v>42</v>
      </c>
      <c r="W137" s="4">
        <v>50</v>
      </c>
    </row>
    <row r="138" spans="1:23" ht="11.25" customHeight="1" x14ac:dyDescent="0.25">
      <c r="A138" s="4" t="s">
        <v>27</v>
      </c>
      <c r="B138" s="4" t="s">
        <v>28</v>
      </c>
      <c r="C138" s="4" t="s">
        <v>23</v>
      </c>
      <c r="D138" s="4" t="s">
        <v>29</v>
      </c>
      <c r="E138" s="4" t="s">
        <v>25</v>
      </c>
      <c r="F138" s="4" t="s">
        <v>25</v>
      </c>
      <c r="G138" s="4" t="s">
        <v>25</v>
      </c>
      <c r="H138" s="4" t="s">
        <v>25</v>
      </c>
      <c r="I138" s="5">
        <v>44835</v>
      </c>
      <c r="J138" s="6">
        <v>0</v>
      </c>
      <c r="K138" s="6">
        <v>0</v>
      </c>
      <c r="L138" s="6">
        <v>24.498999999999999</v>
      </c>
      <c r="M138" s="6">
        <v>24.498999999999999</v>
      </c>
      <c r="N138" s="6">
        <v>24.498999999999999</v>
      </c>
      <c r="O138" s="6">
        <v>24.498999999999999</v>
      </c>
      <c r="P138" s="6">
        <v>12</v>
      </c>
      <c r="Q138" s="4" t="s">
        <v>26</v>
      </c>
      <c r="R138" s="4">
        <v>0</v>
      </c>
      <c r="S138" s="4" t="s">
        <v>159</v>
      </c>
      <c r="T138" s="4" t="s">
        <v>249</v>
      </c>
      <c r="U138" s="4">
        <v>0</v>
      </c>
      <c r="V138" s="4">
        <v>42</v>
      </c>
      <c r="W138" s="4">
        <v>50</v>
      </c>
    </row>
    <row r="139" spans="1:23" ht="11.25" customHeight="1" x14ac:dyDescent="0.25">
      <c r="A139" s="4" t="s">
        <v>21</v>
      </c>
      <c r="B139" s="4" t="s">
        <v>28</v>
      </c>
      <c r="C139" s="4" t="s">
        <v>23</v>
      </c>
      <c r="D139" s="4" t="s">
        <v>33</v>
      </c>
      <c r="E139" s="4" t="s">
        <v>25</v>
      </c>
      <c r="F139" s="4" t="s">
        <v>25</v>
      </c>
      <c r="G139" s="4" t="s">
        <v>25</v>
      </c>
      <c r="H139" s="4" t="s">
        <v>25</v>
      </c>
      <c r="I139" s="5">
        <v>44501</v>
      </c>
      <c r="J139" s="6">
        <v>0</v>
      </c>
      <c r="K139" s="6">
        <v>0</v>
      </c>
      <c r="L139" s="6">
        <v>28.626000000000001</v>
      </c>
      <c r="M139" s="6">
        <v>28.626000000000001</v>
      </c>
      <c r="N139" s="6">
        <v>28.626000000000001</v>
      </c>
      <c r="O139" s="6">
        <v>28.626000000000001</v>
      </c>
      <c r="P139" s="6">
        <v>72</v>
      </c>
      <c r="Q139" s="4" t="s">
        <v>26</v>
      </c>
      <c r="R139" s="4">
        <v>0</v>
      </c>
      <c r="S139" s="4" t="s">
        <v>148</v>
      </c>
      <c r="T139" s="4" t="s">
        <v>238</v>
      </c>
      <c r="U139" s="4">
        <v>0</v>
      </c>
      <c r="V139" s="4">
        <v>42</v>
      </c>
      <c r="W139" s="4">
        <v>50</v>
      </c>
    </row>
    <row r="140" spans="1:23" ht="11.25" customHeight="1" x14ac:dyDescent="0.25">
      <c r="A140" s="4" t="s">
        <v>21</v>
      </c>
      <c r="B140" s="4" t="s">
        <v>28</v>
      </c>
      <c r="C140" s="4" t="s">
        <v>23</v>
      </c>
      <c r="D140" s="4" t="s">
        <v>33</v>
      </c>
      <c r="E140" s="4" t="s">
        <v>25</v>
      </c>
      <c r="F140" s="4" t="s">
        <v>25</v>
      </c>
      <c r="G140" s="4" t="s">
        <v>25</v>
      </c>
      <c r="H140" s="4" t="s">
        <v>25</v>
      </c>
      <c r="I140" s="5">
        <v>44531</v>
      </c>
      <c r="J140" s="6">
        <v>0</v>
      </c>
      <c r="K140" s="6">
        <v>0</v>
      </c>
      <c r="L140" s="6">
        <v>30.797999999999998</v>
      </c>
      <c r="M140" s="6">
        <v>30.797999999999998</v>
      </c>
      <c r="N140" s="6">
        <v>30.797999999999998</v>
      </c>
      <c r="O140" s="6">
        <v>30.797999999999998</v>
      </c>
      <c r="P140" s="6">
        <v>72</v>
      </c>
      <c r="Q140" s="4" t="s">
        <v>26</v>
      </c>
      <c r="R140" s="4">
        <v>0</v>
      </c>
      <c r="S140" s="4" t="s">
        <v>149</v>
      </c>
      <c r="T140" s="4" t="s">
        <v>239</v>
      </c>
      <c r="U140" s="4">
        <v>0</v>
      </c>
      <c r="V140" s="4">
        <v>42</v>
      </c>
      <c r="W140" s="4">
        <v>50</v>
      </c>
    </row>
    <row r="141" spans="1:23" ht="11.25" customHeight="1" x14ac:dyDescent="0.25">
      <c r="A141" s="4" t="s">
        <v>21</v>
      </c>
      <c r="B141" s="4" t="s">
        <v>28</v>
      </c>
      <c r="C141" s="4" t="s">
        <v>23</v>
      </c>
      <c r="D141" s="4" t="s">
        <v>33</v>
      </c>
      <c r="E141" s="4" t="s">
        <v>25</v>
      </c>
      <c r="F141" s="4" t="s">
        <v>25</v>
      </c>
      <c r="G141" s="4" t="s">
        <v>25</v>
      </c>
      <c r="H141" s="4" t="s">
        <v>25</v>
      </c>
      <c r="I141" s="5">
        <v>44562</v>
      </c>
      <c r="J141" s="6">
        <v>0</v>
      </c>
      <c r="K141" s="6">
        <v>0</v>
      </c>
      <c r="L141" s="6">
        <v>26.632999999999999</v>
      </c>
      <c r="M141" s="6">
        <v>26.632999999999999</v>
      </c>
      <c r="N141" s="6">
        <v>26.632999999999999</v>
      </c>
      <c r="O141" s="6">
        <v>26.632999999999999</v>
      </c>
      <c r="P141" s="6">
        <v>72</v>
      </c>
      <c r="Q141" s="4" t="s">
        <v>26</v>
      </c>
      <c r="R141" s="4">
        <v>0</v>
      </c>
      <c r="S141" s="4" t="s">
        <v>150</v>
      </c>
      <c r="T141" s="4" t="s">
        <v>240</v>
      </c>
      <c r="U141" s="4">
        <v>0</v>
      </c>
      <c r="V141" s="4">
        <v>42</v>
      </c>
      <c r="W141" s="4">
        <v>50</v>
      </c>
    </row>
    <row r="142" spans="1:23" ht="11.25" customHeight="1" x14ac:dyDescent="0.25">
      <c r="A142" s="4" t="s">
        <v>21</v>
      </c>
      <c r="B142" s="4" t="s">
        <v>28</v>
      </c>
      <c r="C142" s="4" t="s">
        <v>23</v>
      </c>
      <c r="D142" s="4" t="s">
        <v>33</v>
      </c>
      <c r="E142" s="4" t="s">
        <v>25</v>
      </c>
      <c r="F142" s="4" t="s">
        <v>25</v>
      </c>
      <c r="G142" s="4" t="s">
        <v>25</v>
      </c>
      <c r="H142" s="4" t="s">
        <v>25</v>
      </c>
      <c r="I142" s="5">
        <v>44593</v>
      </c>
      <c r="J142" s="6">
        <v>0</v>
      </c>
      <c r="K142" s="6">
        <v>0</v>
      </c>
      <c r="L142" s="6">
        <v>27.082000000000001</v>
      </c>
      <c r="M142" s="6">
        <v>27.082000000000001</v>
      </c>
      <c r="N142" s="6">
        <v>27.082000000000001</v>
      </c>
      <c r="O142" s="6">
        <v>27.082000000000001</v>
      </c>
      <c r="P142" s="6">
        <v>72</v>
      </c>
      <c r="Q142" s="4" t="s">
        <v>26</v>
      </c>
      <c r="R142" s="4">
        <v>0</v>
      </c>
      <c r="S142" s="4" t="s">
        <v>151</v>
      </c>
      <c r="T142" s="4" t="s">
        <v>241</v>
      </c>
      <c r="U142" s="4">
        <v>0</v>
      </c>
      <c r="V142" s="4">
        <v>42</v>
      </c>
      <c r="W142" s="4">
        <v>50</v>
      </c>
    </row>
    <row r="143" spans="1:23" ht="11.25" customHeight="1" x14ac:dyDescent="0.25">
      <c r="A143" s="4" t="s">
        <v>21</v>
      </c>
      <c r="B143" s="4" t="s">
        <v>28</v>
      </c>
      <c r="C143" s="4" t="s">
        <v>23</v>
      </c>
      <c r="D143" s="4" t="s">
        <v>33</v>
      </c>
      <c r="E143" s="4" t="s">
        <v>25</v>
      </c>
      <c r="F143" s="4" t="s">
        <v>25</v>
      </c>
      <c r="G143" s="4" t="s">
        <v>25</v>
      </c>
      <c r="H143" s="4" t="s">
        <v>25</v>
      </c>
      <c r="I143" s="5">
        <v>44621</v>
      </c>
      <c r="J143" s="6">
        <v>0</v>
      </c>
      <c r="K143" s="6">
        <v>0</v>
      </c>
      <c r="L143" s="6">
        <v>33.36</v>
      </c>
      <c r="M143" s="6">
        <v>33.36</v>
      </c>
      <c r="N143" s="6">
        <v>33.36</v>
      </c>
      <c r="O143" s="6">
        <v>33.36</v>
      </c>
      <c r="P143" s="6">
        <v>71</v>
      </c>
      <c r="Q143" s="4" t="s">
        <v>26</v>
      </c>
      <c r="R143" s="4">
        <v>0</v>
      </c>
      <c r="S143" s="4" t="s">
        <v>152</v>
      </c>
      <c r="T143" s="4" t="s">
        <v>242</v>
      </c>
      <c r="U143" s="4">
        <v>0</v>
      </c>
      <c r="V143" s="4">
        <v>42</v>
      </c>
      <c r="W143" s="4">
        <v>50</v>
      </c>
    </row>
    <row r="144" spans="1:23" ht="11.25" customHeight="1" x14ac:dyDescent="0.25">
      <c r="A144" s="4" t="s">
        <v>21</v>
      </c>
      <c r="B144" s="4" t="s">
        <v>28</v>
      </c>
      <c r="C144" s="4" t="s">
        <v>23</v>
      </c>
      <c r="D144" s="4" t="s">
        <v>33</v>
      </c>
      <c r="E144" s="4" t="s">
        <v>25</v>
      </c>
      <c r="F144" s="4" t="s">
        <v>25</v>
      </c>
      <c r="G144" s="4" t="s">
        <v>25</v>
      </c>
      <c r="H144" s="4" t="s">
        <v>25</v>
      </c>
      <c r="I144" s="5">
        <v>44652</v>
      </c>
      <c r="J144" s="6">
        <v>0</v>
      </c>
      <c r="K144" s="6">
        <v>0</v>
      </c>
      <c r="L144" s="6">
        <v>34.479999999999997</v>
      </c>
      <c r="M144" s="6">
        <v>34.479999999999997</v>
      </c>
      <c r="N144" s="6">
        <v>34.479999999999997</v>
      </c>
      <c r="O144" s="6">
        <v>34.479999999999997</v>
      </c>
      <c r="P144" s="6">
        <v>71</v>
      </c>
      <c r="Q144" s="4" t="s">
        <v>26</v>
      </c>
      <c r="R144" s="4">
        <v>0</v>
      </c>
      <c r="S144" s="4" t="s">
        <v>153</v>
      </c>
      <c r="T144" s="4" t="s">
        <v>243</v>
      </c>
      <c r="U144" s="4">
        <v>0</v>
      </c>
      <c r="V144" s="4">
        <v>42</v>
      </c>
      <c r="W144" s="4">
        <v>50</v>
      </c>
    </row>
    <row r="145" spans="1:23" ht="11.25" customHeight="1" x14ac:dyDescent="0.25">
      <c r="A145" s="4" t="s">
        <v>21</v>
      </c>
      <c r="B145" s="4" t="s">
        <v>28</v>
      </c>
      <c r="C145" s="4" t="s">
        <v>23</v>
      </c>
      <c r="D145" s="4" t="s">
        <v>33</v>
      </c>
      <c r="E145" s="4" t="s">
        <v>25</v>
      </c>
      <c r="F145" s="4" t="s">
        <v>25</v>
      </c>
      <c r="G145" s="4" t="s">
        <v>25</v>
      </c>
      <c r="H145" s="4" t="s">
        <v>25</v>
      </c>
      <c r="I145" s="5">
        <v>44682</v>
      </c>
      <c r="J145" s="6">
        <v>0</v>
      </c>
      <c r="K145" s="6">
        <v>0</v>
      </c>
      <c r="L145" s="6">
        <v>28.722000000000001</v>
      </c>
      <c r="M145" s="6">
        <v>28.722000000000001</v>
      </c>
      <c r="N145" s="6">
        <v>28.722000000000001</v>
      </c>
      <c r="O145" s="6">
        <v>28.722000000000001</v>
      </c>
      <c r="P145" s="6">
        <v>72</v>
      </c>
      <c r="Q145" s="4" t="s">
        <v>26</v>
      </c>
      <c r="R145" s="4">
        <v>0</v>
      </c>
      <c r="S145" s="4" t="s">
        <v>154</v>
      </c>
      <c r="T145" s="4" t="s">
        <v>244</v>
      </c>
      <c r="U145" s="4">
        <v>0</v>
      </c>
      <c r="V145" s="4">
        <v>42</v>
      </c>
      <c r="W145" s="4">
        <v>50</v>
      </c>
    </row>
    <row r="146" spans="1:23" ht="11.25" customHeight="1" x14ac:dyDescent="0.25">
      <c r="A146" s="4" t="s">
        <v>21</v>
      </c>
      <c r="B146" s="4" t="s">
        <v>28</v>
      </c>
      <c r="C146" s="4" t="s">
        <v>23</v>
      </c>
      <c r="D146" s="4" t="s">
        <v>33</v>
      </c>
      <c r="E146" s="4" t="s">
        <v>25</v>
      </c>
      <c r="F146" s="4" t="s">
        <v>25</v>
      </c>
      <c r="G146" s="4" t="s">
        <v>25</v>
      </c>
      <c r="H146" s="4" t="s">
        <v>25</v>
      </c>
      <c r="I146" s="5">
        <v>44713</v>
      </c>
      <c r="J146" s="6">
        <v>0</v>
      </c>
      <c r="K146" s="6">
        <v>0</v>
      </c>
      <c r="L146" s="6">
        <v>28.422999999999998</v>
      </c>
      <c r="M146" s="6">
        <v>28.422999999999998</v>
      </c>
      <c r="N146" s="6">
        <v>28.422999999999998</v>
      </c>
      <c r="O146" s="6">
        <v>28.422999999999998</v>
      </c>
      <c r="P146" s="6">
        <v>72</v>
      </c>
      <c r="Q146" s="4" t="s">
        <v>26</v>
      </c>
      <c r="R146" s="4">
        <v>0</v>
      </c>
      <c r="S146" s="4" t="s">
        <v>155</v>
      </c>
      <c r="T146" s="4" t="s">
        <v>245</v>
      </c>
      <c r="U146" s="4">
        <v>0</v>
      </c>
      <c r="V146" s="4">
        <v>42</v>
      </c>
      <c r="W146" s="4">
        <v>50</v>
      </c>
    </row>
    <row r="147" spans="1:23" ht="11.25" customHeight="1" x14ac:dyDescent="0.25">
      <c r="A147" s="4" t="s">
        <v>21</v>
      </c>
      <c r="B147" s="4" t="s">
        <v>28</v>
      </c>
      <c r="C147" s="4" t="s">
        <v>23</v>
      </c>
      <c r="D147" s="4" t="s">
        <v>33</v>
      </c>
      <c r="E147" s="4" t="s">
        <v>25</v>
      </c>
      <c r="F147" s="4" t="s">
        <v>25</v>
      </c>
      <c r="G147" s="4" t="s">
        <v>25</v>
      </c>
      <c r="H147" s="4" t="s">
        <v>25</v>
      </c>
      <c r="I147" s="5">
        <v>44743</v>
      </c>
      <c r="J147" s="6">
        <v>0</v>
      </c>
      <c r="K147" s="6">
        <v>0</v>
      </c>
      <c r="L147" s="6">
        <v>31.510999999999999</v>
      </c>
      <c r="M147" s="6">
        <v>31.510999999999999</v>
      </c>
      <c r="N147" s="6">
        <v>31.510999999999999</v>
      </c>
      <c r="O147" s="6">
        <v>31.510999999999999</v>
      </c>
      <c r="P147" s="6">
        <v>71</v>
      </c>
      <c r="Q147" s="4" t="s">
        <v>26</v>
      </c>
      <c r="R147" s="4">
        <v>0</v>
      </c>
      <c r="S147" s="4" t="s">
        <v>156</v>
      </c>
      <c r="T147" s="4" t="s">
        <v>246</v>
      </c>
      <c r="U147" s="4">
        <v>0</v>
      </c>
      <c r="V147" s="4">
        <v>42</v>
      </c>
      <c r="W147" s="4">
        <v>50</v>
      </c>
    </row>
    <row r="148" spans="1:23" ht="11.25" customHeight="1" x14ac:dyDescent="0.25">
      <c r="A148" s="4" t="s">
        <v>21</v>
      </c>
      <c r="B148" s="4" t="s">
        <v>28</v>
      </c>
      <c r="C148" s="4" t="s">
        <v>23</v>
      </c>
      <c r="D148" s="4" t="s">
        <v>33</v>
      </c>
      <c r="E148" s="4" t="s">
        <v>25</v>
      </c>
      <c r="F148" s="4" t="s">
        <v>25</v>
      </c>
      <c r="G148" s="4" t="s">
        <v>25</v>
      </c>
      <c r="H148" s="4" t="s">
        <v>25</v>
      </c>
      <c r="I148" s="5">
        <v>44774</v>
      </c>
      <c r="J148" s="6">
        <v>0</v>
      </c>
      <c r="K148" s="6">
        <v>0</v>
      </c>
      <c r="L148" s="6">
        <v>27.742000000000001</v>
      </c>
      <c r="M148" s="6">
        <v>27.742000000000001</v>
      </c>
      <c r="N148" s="6">
        <v>27.742000000000001</v>
      </c>
      <c r="O148" s="6">
        <v>27.742000000000001</v>
      </c>
      <c r="P148" s="6">
        <v>71</v>
      </c>
      <c r="Q148" s="4" t="s">
        <v>26</v>
      </c>
      <c r="R148" s="4">
        <v>0</v>
      </c>
      <c r="S148" s="4" t="s">
        <v>157</v>
      </c>
      <c r="T148" s="4" t="s">
        <v>247</v>
      </c>
      <c r="U148" s="4">
        <v>0</v>
      </c>
      <c r="V148" s="4">
        <v>42</v>
      </c>
      <c r="W148" s="4">
        <v>50</v>
      </c>
    </row>
    <row r="149" spans="1:23" ht="11.25" customHeight="1" x14ac:dyDescent="0.25">
      <c r="A149" s="4" t="s">
        <v>21</v>
      </c>
      <c r="B149" s="4" t="s">
        <v>28</v>
      </c>
      <c r="C149" s="4" t="s">
        <v>23</v>
      </c>
      <c r="D149" s="4" t="s">
        <v>33</v>
      </c>
      <c r="E149" s="4" t="s">
        <v>25</v>
      </c>
      <c r="F149" s="4" t="s">
        <v>25</v>
      </c>
      <c r="G149" s="4" t="s">
        <v>25</v>
      </c>
      <c r="H149" s="4" t="s">
        <v>25</v>
      </c>
      <c r="I149" s="5">
        <v>44805</v>
      </c>
      <c r="J149" s="6">
        <v>0</v>
      </c>
      <c r="K149" s="6">
        <v>0</v>
      </c>
      <c r="L149" s="6">
        <v>31.645</v>
      </c>
      <c r="M149" s="6">
        <v>31.645</v>
      </c>
      <c r="N149" s="6">
        <v>31.645</v>
      </c>
      <c r="O149" s="6">
        <v>31.645</v>
      </c>
      <c r="P149" s="6">
        <v>71</v>
      </c>
      <c r="Q149" s="4" t="s">
        <v>26</v>
      </c>
      <c r="R149" s="4">
        <v>0</v>
      </c>
      <c r="S149" s="4" t="s">
        <v>158</v>
      </c>
      <c r="T149" s="4" t="s">
        <v>248</v>
      </c>
      <c r="U149" s="4">
        <v>0</v>
      </c>
      <c r="V149" s="4">
        <v>42</v>
      </c>
      <c r="W149" s="4">
        <v>50</v>
      </c>
    </row>
    <row r="150" spans="1:23" ht="11.25" customHeight="1" x14ac:dyDescent="0.25">
      <c r="A150" s="4" t="s">
        <v>21</v>
      </c>
      <c r="B150" s="4" t="s">
        <v>28</v>
      </c>
      <c r="C150" s="4" t="s">
        <v>23</v>
      </c>
      <c r="D150" s="4" t="s">
        <v>33</v>
      </c>
      <c r="E150" s="4" t="s">
        <v>25</v>
      </c>
      <c r="F150" s="4" t="s">
        <v>25</v>
      </c>
      <c r="G150" s="4" t="s">
        <v>25</v>
      </c>
      <c r="H150" s="4" t="s">
        <v>25</v>
      </c>
      <c r="I150" s="5">
        <v>44835</v>
      </c>
      <c r="J150" s="6">
        <v>0</v>
      </c>
      <c r="K150" s="6">
        <v>0</v>
      </c>
      <c r="L150" s="6">
        <v>29.611999999999998</v>
      </c>
      <c r="M150" s="6">
        <v>29.611999999999998</v>
      </c>
      <c r="N150" s="6">
        <v>29.611999999999998</v>
      </c>
      <c r="O150" s="6">
        <v>29.611999999999998</v>
      </c>
      <c r="P150" s="6">
        <v>71</v>
      </c>
      <c r="Q150" s="4" t="s">
        <v>26</v>
      </c>
      <c r="R150" s="4">
        <v>0</v>
      </c>
      <c r="S150" s="4" t="s">
        <v>159</v>
      </c>
      <c r="T150" s="4" t="s">
        <v>249</v>
      </c>
      <c r="U150" s="4">
        <v>0</v>
      </c>
      <c r="V150" s="4">
        <v>42</v>
      </c>
      <c r="W150" s="4">
        <v>50</v>
      </c>
    </row>
    <row r="151" spans="1:23" ht="11.25" customHeight="1" x14ac:dyDescent="0.25">
      <c r="A151" s="4" t="s">
        <v>21</v>
      </c>
      <c r="B151" s="4" t="s">
        <v>28</v>
      </c>
      <c r="C151" s="4" t="s">
        <v>23</v>
      </c>
      <c r="D151" s="4" t="s">
        <v>37</v>
      </c>
      <c r="E151" s="4" t="s">
        <v>38</v>
      </c>
      <c r="F151" s="4" t="s">
        <v>25</v>
      </c>
      <c r="G151" s="4" t="s">
        <v>25</v>
      </c>
      <c r="H151" s="4" t="s">
        <v>25</v>
      </c>
      <c r="I151" s="5">
        <v>44501</v>
      </c>
      <c r="J151" s="6">
        <v>0</v>
      </c>
      <c r="K151" s="6">
        <v>0</v>
      </c>
      <c r="L151" s="6">
        <v>0.96799999999999997</v>
      </c>
      <c r="M151" s="6">
        <v>0.90991999999999995</v>
      </c>
      <c r="N151" s="6">
        <v>0.96799999999999997</v>
      </c>
      <c r="O151" s="6">
        <v>0.90991999999999995</v>
      </c>
      <c r="P151" s="6">
        <v>3</v>
      </c>
      <c r="Q151" s="4" t="s">
        <v>26</v>
      </c>
      <c r="R151" s="4">
        <v>0</v>
      </c>
      <c r="S151" s="4" t="s">
        <v>148</v>
      </c>
      <c r="T151" s="4" t="s">
        <v>238</v>
      </c>
      <c r="U151" s="4">
        <v>0</v>
      </c>
      <c r="V151" s="4">
        <v>42</v>
      </c>
      <c r="W151" s="4">
        <v>50</v>
      </c>
    </row>
    <row r="152" spans="1:23" ht="11.25" customHeight="1" x14ac:dyDescent="0.25">
      <c r="A152" s="4" t="s">
        <v>21</v>
      </c>
      <c r="B152" s="4" t="s">
        <v>28</v>
      </c>
      <c r="C152" s="4" t="s">
        <v>23</v>
      </c>
      <c r="D152" s="4" t="s">
        <v>37</v>
      </c>
      <c r="E152" s="4" t="s">
        <v>38</v>
      </c>
      <c r="F152" s="4" t="s">
        <v>25</v>
      </c>
      <c r="G152" s="4" t="s">
        <v>25</v>
      </c>
      <c r="H152" s="4" t="s">
        <v>25</v>
      </c>
      <c r="I152" s="5">
        <v>44531</v>
      </c>
      <c r="J152" s="6">
        <v>0</v>
      </c>
      <c r="K152" s="6">
        <v>0</v>
      </c>
      <c r="L152" s="6">
        <v>1.024</v>
      </c>
      <c r="M152" s="6">
        <v>0.96255999999999997</v>
      </c>
      <c r="N152" s="6">
        <v>1.024</v>
      </c>
      <c r="O152" s="6">
        <v>0.96255999999999997</v>
      </c>
      <c r="P152" s="6">
        <v>3</v>
      </c>
      <c r="Q152" s="4" t="s">
        <v>26</v>
      </c>
      <c r="R152" s="4">
        <v>0</v>
      </c>
      <c r="S152" s="4" t="s">
        <v>149</v>
      </c>
      <c r="T152" s="4" t="s">
        <v>239</v>
      </c>
      <c r="U152" s="4">
        <v>0</v>
      </c>
      <c r="V152" s="4">
        <v>42</v>
      </c>
      <c r="W152" s="4">
        <v>50</v>
      </c>
    </row>
    <row r="153" spans="1:23" ht="11.25" customHeight="1" x14ac:dyDescent="0.25">
      <c r="A153" s="4" t="s">
        <v>21</v>
      </c>
      <c r="B153" s="4" t="s">
        <v>28</v>
      </c>
      <c r="C153" s="4" t="s">
        <v>23</v>
      </c>
      <c r="D153" s="4" t="s">
        <v>37</v>
      </c>
      <c r="E153" s="4" t="s">
        <v>38</v>
      </c>
      <c r="F153" s="4" t="s">
        <v>25</v>
      </c>
      <c r="G153" s="4" t="s">
        <v>25</v>
      </c>
      <c r="H153" s="4" t="s">
        <v>25</v>
      </c>
      <c r="I153" s="5">
        <v>44562</v>
      </c>
      <c r="J153" s="6">
        <v>0</v>
      </c>
      <c r="K153" s="6">
        <v>0</v>
      </c>
      <c r="L153" s="6">
        <v>1.095</v>
      </c>
      <c r="M153" s="6">
        <v>1.0292999999999999</v>
      </c>
      <c r="N153" s="6">
        <v>1.095</v>
      </c>
      <c r="O153" s="6">
        <v>1.0292999999999999</v>
      </c>
      <c r="P153" s="6">
        <v>3</v>
      </c>
      <c r="Q153" s="4" t="s">
        <v>26</v>
      </c>
      <c r="R153" s="4">
        <v>0</v>
      </c>
      <c r="S153" s="4" t="s">
        <v>150</v>
      </c>
      <c r="T153" s="4" t="s">
        <v>240</v>
      </c>
      <c r="U153" s="4">
        <v>0</v>
      </c>
      <c r="V153" s="4">
        <v>42</v>
      </c>
      <c r="W153" s="4">
        <v>50</v>
      </c>
    </row>
    <row r="154" spans="1:23" ht="11.25" customHeight="1" x14ac:dyDescent="0.25">
      <c r="A154" s="4" t="s">
        <v>21</v>
      </c>
      <c r="B154" s="4" t="s">
        <v>28</v>
      </c>
      <c r="C154" s="4" t="s">
        <v>23</v>
      </c>
      <c r="D154" s="4" t="s">
        <v>37</v>
      </c>
      <c r="E154" s="4" t="s">
        <v>38</v>
      </c>
      <c r="F154" s="4" t="s">
        <v>25</v>
      </c>
      <c r="G154" s="4" t="s">
        <v>25</v>
      </c>
      <c r="H154" s="4" t="s">
        <v>25</v>
      </c>
      <c r="I154" s="5">
        <v>44593</v>
      </c>
      <c r="J154" s="6">
        <v>0</v>
      </c>
      <c r="K154" s="6">
        <v>0</v>
      </c>
      <c r="L154" s="6">
        <v>0.95699999999999996</v>
      </c>
      <c r="M154" s="6">
        <v>0.89957999999999994</v>
      </c>
      <c r="N154" s="6">
        <v>0.95699999999999996</v>
      </c>
      <c r="O154" s="6">
        <v>0.89957999999999994</v>
      </c>
      <c r="P154" s="6">
        <v>3</v>
      </c>
      <c r="Q154" s="4" t="s">
        <v>26</v>
      </c>
      <c r="R154" s="4">
        <v>0</v>
      </c>
      <c r="S154" s="4" t="s">
        <v>151</v>
      </c>
      <c r="T154" s="4" t="s">
        <v>241</v>
      </c>
      <c r="U154" s="4">
        <v>0</v>
      </c>
      <c r="V154" s="4">
        <v>42</v>
      </c>
      <c r="W154" s="4">
        <v>50</v>
      </c>
    </row>
    <row r="155" spans="1:23" ht="11.25" customHeight="1" x14ac:dyDescent="0.25">
      <c r="A155" s="4" t="s">
        <v>21</v>
      </c>
      <c r="B155" s="4" t="s">
        <v>28</v>
      </c>
      <c r="C155" s="4" t="s">
        <v>23</v>
      </c>
      <c r="D155" s="4" t="s">
        <v>37</v>
      </c>
      <c r="E155" s="4" t="s">
        <v>38</v>
      </c>
      <c r="F155" s="4" t="s">
        <v>25</v>
      </c>
      <c r="G155" s="4" t="s">
        <v>25</v>
      </c>
      <c r="H155" s="4" t="s">
        <v>25</v>
      </c>
      <c r="I155" s="5">
        <v>44621</v>
      </c>
      <c r="J155" s="6">
        <v>0</v>
      </c>
      <c r="K155" s="6">
        <v>0</v>
      </c>
      <c r="L155" s="6">
        <v>1.0089999999999999</v>
      </c>
      <c r="M155" s="6">
        <v>0.94845999999999986</v>
      </c>
      <c r="N155" s="6">
        <v>1.0089999999999999</v>
      </c>
      <c r="O155" s="6">
        <v>0.94845999999999986</v>
      </c>
      <c r="P155" s="6">
        <v>3</v>
      </c>
      <c r="Q155" s="4" t="s">
        <v>26</v>
      </c>
      <c r="R155" s="4">
        <v>0</v>
      </c>
      <c r="S155" s="4" t="s">
        <v>152</v>
      </c>
      <c r="T155" s="4" t="s">
        <v>242</v>
      </c>
      <c r="U155" s="4">
        <v>0</v>
      </c>
      <c r="V155" s="4">
        <v>42</v>
      </c>
      <c r="W155" s="4">
        <v>50</v>
      </c>
    </row>
    <row r="156" spans="1:23" ht="11.25" customHeight="1" x14ac:dyDescent="0.25">
      <c r="A156" s="4" t="s">
        <v>21</v>
      </c>
      <c r="B156" s="4" t="s">
        <v>28</v>
      </c>
      <c r="C156" s="4" t="s">
        <v>23</v>
      </c>
      <c r="D156" s="4" t="s">
        <v>37</v>
      </c>
      <c r="E156" s="4" t="s">
        <v>38</v>
      </c>
      <c r="F156" s="4" t="s">
        <v>25</v>
      </c>
      <c r="G156" s="4" t="s">
        <v>25</v>
      </c>
      <c r="H156" s="4" t="s">
        <v>25</v>
      </c>
      <c r="I156" s="5">
        <v>44652</v>
      </c>
      <c r="J156" s="6">
        <v>0</v>
      </c>
      <c r="K156" s="6">
        <v>0</v>
      </c>
      <c r="L156" s="6">
        <v>1.028</v>
      </c>
      <c r="M156" s="6">
        <v>0.96631999999999996</v>
      </c>
      <c r="N156" s="6">
        <v>1.028</v>
      </c>
      <c r="O156" s="6">
        <v>0.96631999999999996</v>
      </c>
      <c r="P156" s="6">
        <v>3</v>
      </c>
      <c r="Q156" s="4" t="s">
        <v>26</v>
      </c>
      <c r="R156" s="4">
        <v>0</v>
      </c>
      <c r="S156" s="4" t="s">
        <v>153</v>
      </c>
      <c r="T156" s="4" t="s">
        <v>243</v>
      </c>
      <c r="U156" s="4">
        <v>0</v>
      </c>
      <c r="V156" s="4">
        <v>42</v>
      </c>
      <c r="W156" s="4">
        <v>50</v>
      </c>
    </row>
    <row r="157" spans="1:23" ht="11.25" customHeight="1" x14ac:dyDescent="0.25">
      <c r="A157" s="4" t="s">
        <v>21</v>
      </c>
      <c r="B157" s="4" t="s">
        <v>28</v>
      </c>
      <c r="C157" s="4" t="s">
        <v>23</v>
      </c>
      <c r="D157" s="4" t="s">
        <v>37</v>
      </c>
      <c r="E157" s="4" t="s">
        <v>38</v>
      </c>
      <c r="F157" s="4" t="s">
        <v>25</v>
      </c>
      <c r="G157" s="4" t="s">
        <v>25</v>
      </c>
      <c r="H157" s="4" t="s">
        <v>25</v>
      </c>
      <c r="I157" s="5">
        <v>44682</v>
      </c>
      <c r="J157" s="6">
        <v>0</v>
      </c>
      <c r="K157" s="6">
        <v>0</v>
      </c>
      <c r="L157" s="6">
        <v>1.1619999999999999</v>
      </c>
      <c r="M157" s="6">
        <v>1.0922799999999999</v>
      </c>
      <c r="N157" s="6">
        <v>1.1619999999999999</v>
      </c>
      <c r="O157" s="6">
        <v>1.0922799999999999</v>
      </c>
      <c r="P157" s="6">
        <v>3</v>
      </c>
      <c r="Q157" s="4" t="s">
        <v>26</v>
      </c>
      <c r="R157" s="4">
        <v>0</v>
      </c>
      <c r="S157" s="4" t="s">
        <v>154</v>
      </c>
      <c r="T157" s="4" t="s">
        <v>244</v>
      </c>
      <c r="U157" s="4">
        <v>0</v>
      </c>
      <c r="V157" s="4">
        <v>42</v>
      </c>
      <c r="W157" s="4">
        <v>50</v>
      </c>
    </row>
    <row r="158" spans="1:23" ht="11.25" customHeight="1" x14ac:dyDescent="0.25">
      <c r="A158" s="4" t="s">
        <v>21</v>
      </c>
      <c r="B158" s="4" t="s">
        <v>28</v>
      </c>
      <c r="C158" s="4" t="s">
        <v>23</v>
      </c>
      <c r="D158" s="4" t="s">
        <v>37</v>
      </c>
      <c r="E158" s="4" t="s">
        <v>38</v>
      </c>
      <c r="F158" s="4" t="s">
        <v>25</v>
      </c>
      <c r="G158" s="4" t="s">
        <v>25</v>
      </c>
      <c r="H158" s="4" t="s">
        <v>25</v>
      </c>
      <c r="I158" s="5">
        <v>44713</v>
      </c>
      <c r="J158" s="6">
        <v>0</v>
      </c>
      <c r="K158" s="6">
        <v>0</v>
      </c>
      <c r="L158" s="6">
        <v>0.93</v>
      </c>
      <c r="M158" s="6">
        <v>0.87419999999999998</v>
      </c>
      <c r="N158" s="6">
        <v>0.93</v>
      </c>
      <c r="O158" s="6">
        <v>0.87419999999999998</v>
      </c>
      <c r="P158" s="6">
        <v>3</v>
      </c>
      <c r="Q158" s="4" t="s">
        <v>26</v>
      </c>
      <c r="R158" s="4">
        <v>0</v>
      </c>
      <c r="S158" s="4" t="s">
        <v>155</v>
      </c>
      <c r="T158" s="4" t="s">
        <v>245</v>
      </c>
      <c r="U158" s="4">
        <v>0</v>
      </c>
      <c r="V158" s="4">
        <v>42</v>
      </c>
      <c r="W158" s="4">
        <v>50</v>
      </c>
    </row>
    <row r="159" spans="1:23" ht="11.25" customHeight="1" x14ac:dyDescent="0.25">
      <c r="A159" s="4" t="s">
        <v>21</v>
      </c>
      <c r="B159" s="4" t="s">
        <v>28</v>
      </c>
      <c r="C159" s="4" t="s">
        <v>23</v>
      </c>
      <c r="D159" s="4" t="s">
        <v>37</v>
      </c>
      <c r="E159" s="4" t="s">
        <v>38</v>
      </c>
      <c r="F159" s="4" t="s">
        <v>25</v>
      </c>
      <c r="G159" s="4" t="s">
        <v>25</v>
      </c>
      <c r="H159" s="4" t="s">
        <v>25</v>
      </c>
      <c r="I159" s="5">
        <v>44743</v>
      </c>
      <c r="J159" s="6">
        <v>0</v>
      </c>
      <c r="K159" s="6">
        <v>0</v>
      </c>
      <c r="L159" s="6">
        <v>0.749</v>
      </c>
      <c r="M159" s="6">
        <v>0.70405999999999991</v>
      </c>
      <c r="N159" s="6">
        <v>0.749</v>
      </c>
      <c r="O159" s="6">
        <v>0.70405999999999991</v>
      </c>
      <c r="P159" s="6">
        <v>3</v>
      </c>
      <c r="Q159" s="4" t="s">
        <v>26</v>
      </c>
      <c r="R159" s="4">
        <v>0</v>
      </c>
      <c r="S159" s="4" t="s">
        <v>156</v>
      </c>
      <c r="T159" s="4" t="s">
        <v>246</v>
      </c>
      <c r="U159" s="4">
        <v>0</v>
      </c>
      <c r="V159" s="4">
        <v>42</v>
      </c>
      <c r="W159" s="4">
        <v>50</v>
      </c>
    </row>
    <row r="160" spans="1:23" ht="11.25" customHeight="1" x14ac:dyDescent="0.25">
      <c r="A160" s="4" t="s">
        <v>21</v>
      </c>
      <c r="B160" s="4" t="s">
        <v>28</v>
      </c>
      <c r="C160" s="4" t="s">
        <v>23</v>
      </c>
      <c r="D160" s="4" t="s">
        <v>37</v>
      </c>
      <c r="E160" s="4" t="s">
        <v>38</v>
      </c>
      <c r="F160" s="4" t="s">
        <v>25</v>
      </c>
      <c r="G160" s="4" t="s">
        <v>25</v>
      </c>
      <c r="H160" s="4" t="s">
        <v>25</v>
      </c>
      <c r="I160" s="5">
        <v>44774</v>
      </c>
      <c r="J160" s="6">
        <v>0</v>
      </c>
      <c r="K160" s="6">
        <v>0</v>
      </c>
      <c r="L160" s="6">
        <v>0.77200000000000002</v>
      </c>
      <c r="M160" s="6">
        <v>0.72567999999999999</v>
      </c>
      <c r="N160" s="6">
        <v>0.77200000000000002</v>
      </c>
      <c r="O160" s="6">
        <v>0.72567999999999999</v>
      </c>
      <c r="P160" s="6">
        <v>3</v>
      </c>
      <c r="Q160" s="4" t="s">
        <v>26</v>
      </c>
      <c r="R160" s="4">
        <v>0</v>
      </c>
      <c r="S160" s="4" t="s">
        <v>157</v>
      </c>
      <c r="T160" s="4" t="s">
        <v>247</v>
      </c>
      <c r="U160" s="4">
        <v>0</v>
      </c>
      <c r="V160" s="4">
        <v>42</v>
      </c>
      <c r="W160" s="4">
        <v>50</v>
      </c>
    </row>
    <row r="161" spans="1:23" ht="11.25" customHeight="1" x14ac:dyDescent="0.25">
      <c r="A161" s="4" t="s">
        <v>21</v>
      </c>
      <c r="B161" s="4" t="s">
        <v>28</v>
      </c>
      <c r="C161" s="4" t="s">
        <v>23</v>
      </c>
      <c r="D161" s="4" t="s">
        <v>37</v>
      </c>
      <c r="E161" s="4" t="s">
        <v>38</v>
      </c>
      <c r="F161" s="4" t="s">
        <v>25</v>
      </c>
      <c r="G161" s="4" t="s">
        <v>25</v>
      </c>
      <c r="H161" s="4" t="s">
        <v>25</v>
      </c>
      <c r="I161" s="5">
        <v>44805</v>
      </c>
      <c r="J161" s="6">
        <v>0</v>
      </c>
      <c r="K161" s="6">
        <v>0</v>
      </c>
      <c r="L161" s="6">
        <v>0.83299999999999996</v>
      </c>
      <c r="M161" s="6">
        <v>0.78301999999999994</v>
      </c>
      <c r="N161" s="6">
        <v>0.83299999999999996</v>
      </c>
      <c r="O161" s="6">
        <v>0.78301999999999994</v>
      </c>
      <c r="P161" s="6">
        <v>3</v>
      </c>
      <c r="Q161" s="4" t="s">
        <v>26</v>
      </c>
      <c r="R161" s="4">
        <v>0</v>
      </c>
      <c r="S161" s="4" t="s">
        <v>158</v>
      </c>
      <c r="T161" s="4" t="s">
        <v>248</v>
      </c>
      <c r="U161" s="4">
        <v>0</v>
      </c>
      <c r="V161" s="4">
        <v>42</v>
      </c>
      <c r="W161" s="4">
        <v>50</v>
      </c>
    </row>
    <row r="162" spans="1:23" ht="11.25" customHeight="1" x14ac:dyDescent="0.25">
      <c r="A162" s="4" t="s">
        <v>21</v>
      </c>
      <c r="B162" s="4" t="s">
        <v>28</v>
      </c>
      <c r="C162" s="4" t="s">
        <v>23</v>
      </c>
      <c r="D162" s="4" t="s">
        <v>37</v>
      </c>
      <c r="E162" s="4" t="s">
        <v>38</v>
      </c>
      <c r="F162" s="4" t="s">
        <v>25</v>
      </c>
      <c r="G162" s="4" t="s">
        <v>25</v>
      </c>
      <c r="H162" s="4" t="s">
        <v>25</v>
      </c>
      <c r="I162" s="5">
        <v>44835</v>
      </c>
      <c r="J162" s="6">
        <v>0</v>
      </c>
      <c r="K162" s="6">
        <v>0</v>
      </c>
      <c r="L162" s="6">
        <v>0.81399999999999995</v>
      </c>
      <c r="M162" s="6">
        <v>0.76515999999999995</v>
      </c>
      <c r="N162" s="6">
        <v>0.81399999999999995</v>
      </c>
      <c r="O162" s="6">
        <v>0.76515999999999995</v>
      </c>
      <c r="P162" s="6">
        <v>3</v>
      </c>
      <c r="Q162" s="4" t="s">
        <v>26</v>
      </c>
      <c r="R162" s="4">
        <v>0</v>
      </c>
      <c r="S162" s="4" t="s">
        <v>159</v>
      </c>
      <c r="T162" s="4" t="s">
        <v>249</v>
      </c>
      <c r="U162" s="4">
        <v>0</v>
      </c>
      <c r="V162" s="4">
        <v>42</v>
      </c>
      <c r="W162" s="4">
        <v>50</v>
      </c>
    </row>
    <row r="163" spans="1:23" ht="11.25" customHeight="1" x14ac:dyDescent="0.25">
      <c r="A163" s="4" t="s">
        <v>21</v>
      </c>
      <c r="B163" s="4" t="s">
        <v>34</v>
      </c>
      <c r="C163" s="4" t="s">
        <v>23</v>
      </c>
      <c r="D163" s="4" t="s">
        <v>35</v>
      </c>
      <c r="E163" s="4" t="s">
        <v>36</v>
      </c>
      <c r="F163" s="4" t="s">
        <v>25</v>
      </c>
      <c r="G163" s="4" t="s">
        <v>25</v>
      </c>
      <c r="H163" s="4" t="s">
        <v>25</v>
      </c>
      <c r="I163" s="5">
        <v>44501</v>
      </c>
      <c r="J163" s="6">
        <v>0</v>
      </c>
      <c r="K163" s="6">
        <v>0</v>
      </c>
      <c r="L163" s="6">
        <v>18.512</v>
      </c>
      <c r="M163" s="6">
        <v>18.512</v>
      </c>
      <c r="N163" s="6">
        <v>18.512</v>
      </c>
      <c r="O163" s="6">
        <v>18.512</v>
      </c>
      <c r="P163" s="6">
        <v>18</v>
      </c>
      <c r="Q163" s="4" t="s">
        <v>26</v>
      </c>
      <c r="R163" s="4">
        <v>0</v>
      </c>
      <c r="S163" s="4" t="s">
        <v>160</v>
      </c>
      <c r="T163" s="4" t="s">
        <v>250</v>
      </c>
      <c r="U163" s="4">
        <v>0</v>
      </c>
      <c r="V163" s="4">
        <v>33</v>
      </c>
      <c r="W163" s="4">
        <v>52</v>
      </c>
    </row>
    <row r="164" spans="1:23" ht="11.25" customHeight="1" x14ac:dyDescent="0.25">
      <c r="A164" s="4" t="s">
        <v>21</v>
      </c>
      <c r="B164" s="4" t="s">
        <v>34</v>
      </c>
      <c r="C164" s="4" t="s">
        <v>23</v>
      </c>
      <c r="D164" s="4" t="s">
        <v>35</v>
      </c>
      <c r="E164" s="4" t="s">
        <v>36</v>
      </c>
      <c r="F164" s="4" t="s">
        <v>25</v>
      </c>
      <c r="G164" s="4" t="s">
        <v>25</v>
      </c>
      <c r="H164" s="4" t="s">
        <v>25</v>
      </c>
      <c r="I164" s="5">
        <v>44531</v>
      </c>
      <c r="J164" s="6">
        <v>0</v>
      </c>
      <c r="K164" s="6">
        <v>0</v>
      </c>
      <c r="L164" s="6">
        <v>19.411000000000001</v>
      </c>
      <c r="M164" s="6">
        <v>19.411000000000001</v>
      </c>
      <c r="N164" s="6">
        <v>19.411000000000001</v>
      </c>
      <c r="O164" s="6">
        <v>19.411000000000001</v>
      </c>
      <c r="P164" s="6">
        <v>18</v>
      </c>
      <c r="Q164" s="4" t="s">
        <v>26</v>
      </c>
      <c r="R164" s="4">
        <v>0</v>
      </c>
      <c r="S164" s="4" t="s">
        <v>161</v>
      </c>
      <c r="T164" s="4" t="s">
        <v>251</v>
      </c>
      <c r="U164" s="4">
        <v>0</v>
      </c>
      <c r="V164" s="4">
        <v>33</v>
      </c>
      <c r="W164" s="4">
        <v>52</v>
      </c>
    </row>
    <row r="165" spans="1:23" ht="11.25" customHeight="1" x14ac:dyDescent="0.25">
      <c r="A165" s="4" t="s">
        <v>21</v>
      </c>
      <c r="B165" s="4" t="s">
        <v>34</v>
      </c>
      <c r="C165" s="4" t="s">
        <v>23</v>
      </c>
      <c r="D165" s="4" t="s">
        <v>35</v>
      </c>
      <c r="E165" s="4" t="s">
        <v>36</v>
      </c>
      <c r="F165" s="4" t="s">
        <v>25</v>
      </c>
      <c r="G165" s="4" t="s">
        <v>25</v>
      </c>
      <c r="H165" s="4" t="s">
        <v>25</v>
      </c>
      <c r="I165" s="5">
        <v>44562</v>
      </c>
      <c r="J165" s="6">
        <v>0</v>
      </c>
      <c r="K165" s="6">
        <v>0</v>
      </c>
      <c r="L165" s="6">
        <v>19.318999999999999</v>
      </c>
      <c r="M165" s="6">
        <v>19.318999999999999</v>
      </c>
      <c r="N165" s="6">
        <v>19.318999999999999</v>
      </c>
      <c r="O165" s="6">
        <v>19.318999999999999</v>
      </c>
      <c r="P165" s="6">
        <v>19</v>
      </c>
      <c r="Q165" s="4" t="s">
        <v>26</v>
      </c>
      <c r="R165" s="4">
        <v>0</v>
      </c>
      <c r="S165" s="4" t="s">
        <v>162</v>
      </c>
      <c r="T165" s="4" t="s">
        <v>252</v>
      </c>
      <c r="U165" s="4">
        <v>0</v>
      </c>
      <c r="V165" s="4">
        <v>33</v>
      </c>
      <c r="W165" s="4">
        <v>52</v>
      </c>
    </row>
    <row r="166" spans="1:23" ht="11.25" customHeight="1" x14ac:dyDescent="0.25">
      <c r="A166" s="4" t="s">
        <v>21</v>
      </c>
      <c r="B166" s="4" t="s">
        <v>34</v>
      </c>
      <c r="C166" s="4" t="s">
        <v>23</v>
      </c>
      <c r="D166" s="4" t="s">
        <v>35</v>
      </c>
      <c r="E166" s="4" t="s">
        <v>36</v>
      </c>
      <c r="F166" s="4" t="s">
        <v>25</v>
      </c>
      <c r="G166" s="4" t="s">
        <v>25</v>
      </c>
      <c r="H166" s="4" t="s">
        <v>25</v>
      </c>
      <c r="I166" s="5">
        <v>44593</v>
      </c>
      <c r="J166" s="6">
        <v>0</v>
      </c>
      <c r="K166" s="6">
        <v>0</v>
      </c>
      <c r="L166" s="6">
        <v>18.029</v>
      </c>
      <c r="M166" s="6">
        <v>18.029</v>
      </c>
      <c r="N166" s="6">
        <v>18.029</v>
      </c>
      <c r="O166" s="6">
        <v>18.029</v>
      </c>
      <c r="P166" s="6">
        <v>19</v>
      </c>
      <c r="Q166" s="4" t="s">
        <v>26</v>
      </c>
      <c r="R166" s="4">
        <v>0</v>
      </c>
      <c r="S166" s="4" t="s">
        <v>163</v>
      </c>
      <c r="T166" s="4" t="s">
        <v>253</v>
      </c>
      <c r="U166" s="4">
        <v>0</v>
      </c>
      <c r="V166" s="4">
        <v>33</v>
      </c>
      <c r="W166" s="4">
        <v>52</v>
      </c>
    </row>
    <row r="167" spans="1:23" ht="11.25" customHeight="1" x14ac:dyDescent="0.25">
      <c r="A167" s="4" t="s">
        <v>21</v>
      </c>
      <c r="B167" s="4" t="s">
        <v>34</v>
      </c>
      <c r="C167" s="4" t="s">
        <v>23</v>
      </c>
      <c r="D167" s="4" t="s">
        <v>35</v>
      </c>
      <c r="E167" s="4" t="s">
        <v>36</v>
      </c>
      <c r="F167" s="4" t="s">
        <v>25</v>
      </c>
      <c r="G167" s="4" t="s">
        <v>25</v>
      </c>
      <c r="H167" s="4" t="s">
        <v>25</v>
      </c>
      <c r="I167" s="5">
        <v>44621</v>
      </c>
      <c r="J167" s="6">
        <v>0</v>
      </c>
      <c r="K167" s="6">
        <v>0</v>
      </c>
      <c r="L167" s="6">
        <v>19.922999999999998</v>
      </c>
      <c r="M167" s="6">
        <v>19.922999999999998</v>
      </c>
      <c r="N167" s="6">
        <v>19.922999999999998</v>
      </c>
      <c r="O167" s="6">
        <v>19.922999999999998</v>
      </c>
      <c r="P167" s="6">
        <v>19</v>
      </c>
      <c r="Q167" s="4" t="s">
        <v>26</v>
      </c>
      <c r="R167" s="4">
        <v>0</v>
      </c>
      <c r="S167" s="4" t="s">
        <v>164</v>
      </c>
      <c r="T167" s="4" t="s">
        <v>254</v>
      </c>
      <c r="U167" s="4">
        <v>0</v>
      </c>
      <c r="V167" s="4">
        <v>33</v>
      </c>
      <c r="W167" s="4">
        <v>52</v>
      </c>
    </row>
    <row r="168" spans="1:23" ht="11.25" customHeight="1" x14ac:dyDescent="0.25">
      <c r="A168" s="4" t="s">
        <v>21</v>
      </c>
      <c r="B168" s="4" t="s">
        <v>34</v>
      </c>
      <c r="C168" s="4" t="s">
        <v>23</v>
      </c>
      <c r="D168" s="4" t="s">
        <v>35</v>
      </c>
      <c r="E168" s="4" t="s">
        <v>36</v>
      </c>
      <c r="F168" s="4" t="s">
        <v>25</v>
      </c>
      <c r="G168" s="4" t="s">
        <v>25</v>
      </c>
      <c r="H168" s="4" t="s">
        <v>25</v>
      </c>
      <c r="I168" s="5">
        <v>44652</v>
      </c>
      <c r="J168" s="6">
        <v>0</v>
      </c>
      <c r="K168" s="6">
        <v>0</v>
      </c>
      <c r="L168" s="6">
        <v>23.013000000000002</v>
      </c>
      <c r="M168" s="6">
        <v>23.013000000000002</v>
      </c>
      <c r="N168" s="6">
        <v>23.013000000000002</v>
      </c>
      <c r="O168" s="6">
        <v>23.013000000000002</v>
      </c>
      <c r="P168" s="6">
        <v>19</v>
      </c>
      <c r="Q168" s="4" t="s">
        <v>26</v>
      </c>
      <c r="R168" s="4">
        <v>0</v>
      </c>
      <c r="S168" s="4" t="s">
        <v>165</v>
      </c>
      <c r="T168" s="4" t="s">
        <v>255</v>
      </c>
      <c r="U168" s="4">
        <v>0</v>
      </c>
      <c r="V168" s="4">
        <v>33</v>
      </c>
      <c r="W168" s="4">
        <v>52</v>
      </c>
    </row>
    <row r="169" spans="1:23" ht="11.25" customHeight="1" x14ac:dyDescent="0.25">
      <c r="A169" s="4" t="s">
        <v>21</v>
      </c>
      <c r="B169" s="4" t="s">
        <v>34</v>
      </c>
      <c r="C169" s="4" t="s">
        <v>23</v>
      </c>
      <c r="D169" s="4" t="s">
        <v>35</v>
      </c>
      <c r="E169" s="4" t="s">
        <v>36</v>
      </c>
      <c r="F169" s="4" t="s">
        <v>25</v>
      </c>
      <c r="G169" s="4" t="s">
        <v>25</v>
      </c>
      <c r="H169" s="4" t="s">
        <v>25</v>
      </c>
      <c r="I169" s="5">
        <v>44682</v>
      </c>
      <c r="J169" s="6">
        <v>0</v>
      </c>
      <c r="K169" s="6">
        <v>0</v>
      </c>
      <c r="L169" s="6">
        <v>23.071000000000002</v>
      </c>
      <c r="M169" s="6">
        <v>23.071000000000002</v>
      </c>
      <c r="N169" s="6">
        <v>23.071000000000002</v>
      </c>
      <c r="O169" s="6">
        <v>23.071000000000002</v>
      </c>
      <c r="P169" s="6">
        <v>19</v>
      </c>
      <c r="Q169" s="4" t="s">
        <v>26</v>
      </c>
      <c r="R169" s="4">
        <v>0</v>
      </c>
      <c r="S169" s="4" t="s">
        <v>166</v>
      </c>
      <c r="T169" s="4" t="s">
        <v>256</v>
      </c>
      <c r="U169" s="4">
        <v>0</v>
      </c>
      <c r="V169" s="4">
        <v>33</v>
      </c>
      <c r="W169" s="4">
        <v>52</v>
      </c>
    </row>
    <row r="170" spans="1:23" ht="11.25" customHeight="1" x14ac:dyDescent="0.25">
      <c r="A170" s="4" t="s">
        <v>21</v>
      </c>
      <c r="B170" s="4" t="s">
        <v>34</v>
      </c>
      <c r="C170" s="4" t="s">
        <v>23</v>
      </c>
      <c r="D170" s="4" t="s">
        <v>35</v>
      </c>
      <c r="E170" s="4" t="s">
        <v>36</v>
      </c>
      <c r="F170" s="4" t="s">
        <v>25</v>
      </c>
      <c r="G170" s="4" t="s">
        <v>25</v>
      </c>
      <c r="H170" s="4" t="s">
        <v>25</v>
      </c>
      <c r="I170" s="5">
        <v>44713</v>
      </c>
      <c r="J170" s="6">
        <v>0</v>
      </c>
      <c r="K170" s="6">
        <v>0</v>
      </c>
      <c r="L170" s="6">
        <v>28.919</v>
      </c>
      <c r="M170" s="6">
        <v>28.919</v>
      </c>
      <c r="N170" s="6">
        <v>28.919</v>
      </c>
      <c r="O170" s="6">
        <v>28.919</v>
      </c>
      <c r="P170" s="6">
        <v>19</v>
      </c>
      <c r="Q170" s="4" t="s">
        <v>26</v>
      </c>
      <c r="R170" s="4">
        <v>0</v>
      </c>
      <c r="S170" s="4" t="s">
        <v>167</v>
      </c>
      <c r="T170" s="4" t="s">
        <v>257</v>
      </c>
      <c r="U170" s="4">
        <v>0</v>
      </c>
      <c r="V170" s="4">
        <v>33</v>
      </c>
      <c r="W170" s="4">
        <v>52</v>
      </c>
    </row>
    <row r="171" spans="1:23" ht="11.25" customHeight="1" x14ac:dyDescent="0.25">
      <c r="A171" s="4" t="s">
        <v>21</v>
      </c>
      <c r="B171" s="4" t="s">
        <v>34</v>
      </c>
      <c r="C171" s="4" t="s">
        <v>23</v>
      </c>
      <c r="D171" s="4" t="s">
        <v>35</v>
      </c>
      <c r="E171" s="4" t="s">
        <v>36</v>
      </c>
      <c r="F171" s="4" t="s">
        <v>25</v>
      </c>
      <c r="G171" s="4" t="s">
        <v>25</v>
      </c>
      <c r="H171" s="4" t="s">
        <v>25</v>
      </c>
      <c r="I171" s="5">
        <v>44743</v>
      </c>
      <c r="J171" s="6">
        <v>0</v>
      </c>
      <c r="K171" s="6">
        <v>0</v>
      </c>
      <c r="L171" s="6">
        <v>27.431999999999999</v>
      </c>
      <c r="M171" s="6">
        <v>27.431999999999999</v>
      </c>
      <c r="N171" s="6">
        <v>27.431999999999999</v>
      </c>
      <c r="O171" s="6">
        <v>27.431999999999999</v>
      </c>
      <c r="P171" s="6">
        <v>19</v>
      </c>
      <c r="Q171" s="4" t="s">
        <v>26</v>
      </c>
      <c r="R171" s="4">
        <v>0</v>
      </c>
      <c r="S171" s="4" t="s">
        <v>168</v>
      </c>
      <c r="T171" s="4" t="s">
        <v>258</v>
      </c>
      <c r="U171" s="4">
        <v>0</v>
      </c>
      <c r="V171" s="4">
        <v>33</v>
      </c>
      <c r="W171" s="4">
        <v>52</v>
      </c>
    </row>
    <row r="172" spans="1:23" ht="11.25" customHeight="1" x14ac:dyDescent="0.25">
      <c r="A172" s="4" t="s">
        <v>21</v>
      </c>
      <c r="B172" s="4" t="s">
        <v>34</v>
      </c>
      <c r="C172" s="4" t="s">
        <v>23</v>
      </c>
      <c r="D172" s="4" t="s">
        <v>35</v>
      </c>
      <c r="E172" s="4" t="s">
        <v>36</v>
      </c>
      <c r="F172" s="4" t="s">
        <v>25</v>
      </c>
      <c r="G172" s="4" t="s">
        <v>25</v>
      </c>
      <c r="H172" s="4" t="s">
        <v>25</v>
      </c>
      <c r="I172" s="5">
        <v>44774</v>
      </c>
      <c r="J172" s="6">
        <v>0</v>
      </c>
      <c r="K172" s="6">
        <v>0</v>
      </c>
      <c r="L172" s="6">
        <v>27.561</v>
      </c>
      <c r="M172" s="6">
        <v>27.561</v>
      </c>
      <c r="N172" s="6">
        <v>27.561</v>
      </c>
      <c r="O172" s="6">
        <v>27.561</v>
      </c>
      <c r="P172" s="6">
        <v>19</v>
      </c>
      <c r="Q172" s="4" t="s">
        <v>26</v>
      </c>
      <c r="R172" s="4">
        <v>0</v>
      </c>
      <c r="S172" s="4" t="s">
        <v>169</v>
      </c>
      <c r="T172" s="4" t="s">
        <v>259</v>
      </c>
      <c r="U172" s="4">
        <v>0</v>
      </c>
      <c r="V172" s="4">
        <v>33</v>
      </c>
      <c r="W172" s="4">
        <v>52</v>
      </c>
    </row>
    <row r="173" spans="1:23" ht="11.25" customHeight="1" x14ac:dyDescent="0.25">
      <c r="A173" s="4" t="s">
        <v>21</v>
      </c>
      <c r="B173" s="4" t="s">
        <v>34</v>
      </c>
      <c r="C173" s="4" t="s">
        <v>23</v>
      </c>
      <c r="D173" s="4" t="s">
        <v>35</v>
      </c>
      <c r="E173" s="4" t="s">
        <v>36</v>
      </c>
      <c r="F173" s="4" t="s">
        <v>25</v>
      </c>
      <c r="G173" s="4" t="s">
        <v>25</v>
      </c>
      <c r="H173" s="4" t="s">
        <v>25</v>
      </c>
      <c r="I173" s="5">
        <v>44805</v>
      </c>
      <c r="J173" s="6">
        <v>0</v>
      </c>
      <c r="K173" s="6">
        <v>0</v>
      </c>
      <c r="L173" s="6">
        <v>25.364000000000001</v>
      </c>
      <c r="M173" s="6">
        <v>25.364000000000001</v>
      </c>
      <c r="N173" s="6">
        <v>25.364000000000001</v>
      </c>
      <c r="O173" s="6">
        <v>25.364000000000001</v>
      </c>
      <c r="P173" s="6">
        <v>19</v>
      </c>
      <c r="Q173" s="4" t="s">
        <v>26</v>
      </c>
      <c r="R173" s="4">
        <v>0</v>
      </c>
      <c r="S173" s="4" t="s">
        <v>170</v>
      </c>
      <c r="T173" s="4" t="s">
        <v>260</v>
      </c>
      <c r="U173" s="4">
        <v>0</v>
      </c>
      <c r="V173" s="4">
        <v>33</v>
      </c>
      <c r="W173" s="4">
        <v>52</v>
      </c>
    </row>
    <row r="174" spans="1:23" ht="11.25" customHeight="1" x14ac:dyDescent="0.25">
      <c r="A174" s="4" t="s">
        <v>21</v>
      </c>
      <c r="B174" s="4" t="s">
        <v>34</v>
      </c>
      <c r="C174" s="4" t="s">
        <v>23</v>
      </c>
      <c r="D174" s="4" t="s">
        <v>35</v>
      </c>
      <c r="E174" s="4" t="s">
        <v>36</v>
      </c>
      <c r="F174" s="4" t="s">
        <v>25</v>
      </c>
      <c r="G174" s="4" t="s">
        <v>25</v>
      </c>
      <c r="H174" s="4" t="s">
        <v>25</v>
      </c>
      <c r="I174" s="5">
        <v>44835</v>
      </c>
      <c r="J174" s="6">
        <v>0</v>
      </c>
      <c r="K174" s="6">
        <v>0</v>
      </c>
      <c r="L174" s="6">
        <v>23.771000000000001</v>
      </c>
      <c r="M174" s="6">
        <v>23.771000000000001</v>
      </c>
      <c r="N174" s="6">
        <v>23.771000000000001</v>
      </c>
      <c r="O174" s="6">
        <v>23.771000000000001</v>
      </c>
      <c r="P174" s="6">
        <v>19</v>
      </c>
      <c r="Q174" s="4" t="s">
        <v>26</v>
      </c>
      <c r="R174" s="4">
        <v>0</v>
      </c>
      <c r="S174" s="4" t="s">
        <v>171</v>
      </c>
      <c r="T174" s="4" t="s">
        <v>261</v>
      </c>
      <c r="U174" s="4">
        <v>0</v>
      </c>
      <c r="V174" s="4">
        <v>33</v>
      </c>
      <c r="W174" s="4">
        <v>52</v>
      </c>
    </row>
  </sheetData>
  <sortState xmlns:xlrd2="http://schemas.microsoft.com/office/spreadsheetml/2017/richdata2" ref="A2:W174">
    <sortCondition ref="B2:B174"/>
    <sortCondition ref="C2:C174"/>
    <sortCondition ref="D2:D174"/>
    <sortCondition ref="E2:E174"/>
    <sortCondition ref="F2:F174"/>
    <sortCondition ref="H2:H17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043A-B2C6-483E-83F6-AE02100D3727}">
  <sheetPr codeName="Planilha10"/>
  <dimension ref="A1:AP58"/>
  <sheetViews>
    <sheetView showGridLines="0" topLeftCell="AC35" workbookViewId="0">
      <selection activeCell="AO53" sqref="AO53:AP55"/>
    </sheetView>
  </sheetViews>
  <sheetFormatPr defaultColWidth="9.140625"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5" width="4.140625" style="9" bestFit="1" customWidth="1"/>
    <col min="16" max="16" width="4.4257812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570312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0" width="9.140625" style="9"/>
    <col min="41" max="42" width="10.85546875" style="9" bestFit="1" customWidth="1"/>
    <col min="43" max="16384" width="9.140625" style="9"/>
  </cols>
  <sheetData>
    <row r="1" spans="1:42" ht="11.25" customHeight="1" x14ac:dyDescent="0.25">
      <c r="A1" s="104" t="s">
        <v>49</v>
      </c>
      <c r="B1" s="104" t="s">
        <v>50</v>
      </c>
      <c r="C1" s="104" t="s">
        <v>51</v>
      </c>
      <c r="D1" s="104" t="s">
        <v>52</v>
      </c>
      <c r="E1" s="104" t="s">
        <v>53</v>
      </c>
      <c r="F1" s="104" t="s">
        <v>15</v>
      </c>
      <c r="G1" s="104" t="s">
        <v>55</v>
      </c>
      <c r="H1" s="104" t="s">
        <v>56</v>
      </c>
      <c r="I1" s="104" t="s">
        <v>365</v>
      </c>
      <c r="J1" s="96"/>
      <c r="L1" s="105" t="s">
        <v>382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O1" s="26"/>
      <c r="AP1" s="108" t="s">
        <v>367</v>
      </c>
    </row>
    <row r="2" spans="1:42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6"/>
      <c r="L2" s="105" t="s">
        <v>263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O2" s="26"/>
      <c r="AP2" s="109"/>
    </row>
    <row r="3" spans="1:42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6"/>
      <c r="L3" s="105" t="s">
        <v>264</v>
      </c>
      <c r="M3" s="105"/>
      <c r="N3" s="105"/>
      <c r="O3" s="105"/>
      <c r="P3" s="105"/>
      <c r="Q3" s="105"/>
      <c r="R3" s="105"/>
      <c r="S3" s="105"/>
      <c r="T3" s="105"/>
      <c r="U3" s="105" t="s">
        <v>273</v>
      </c>
      <c r="V3" s="105"/>
      <c r="W3" s="105"/>
      <c r="X3" s="105"/>
      <c r="Y3" s="105"/>
      <c r="Z3" s="105"/>
      <c r="AA3" s="105"/>
      <c r="AB3" s="105"/>
      <c r="AC3" s="105" t="s">
        <v>281</v>
      </c>
      <c r="AD3" s="105"/>
      <c r="AE3" s="105" t="s">
        <v>283</v>
      </c>
      <c r="AF3" s="105"/>
      <c r="AG3" s="105"/>
      <c r="AH3" s="105" t="s">
        <v>286</v>
      </c>
      <c r="AI3" s="105"/>
      <c r="AJ3" s="105"/>
      <c r="AK3" s="105"/>
      <c r="AL3" s="105"/>
      <c r="AM3" s="105" t="s">
        <v>272</v>
      </c>
      <c r="AO3" s="26"/>
      <c r="AP3" s="109"/>
    </row>
    <row r="4" spans="1:42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6"/>
      <c r="L4" s="10" t="s">
        <v>349</v>
      </c>
      <c r="M4" s="10" t="s">
        <v>265</v>
      </c>
      <c r="N4" s="10" t="s">
        <v>266</v>
      </c>
      <c r="O4" s="10" t="s">
        <v>267</v>
      </c>
      <c r="P4" s="10" t="s">
        <v>268</v>
      </c>
      <c r="Q4" s="10" t="s">
        <v>269</v>
      </c>
      <c r="R4" s="10" t="s">
        <v>270</v>
      </c>
      <c r="S4" s="10" t="s">
        <v>271</v>
      </c>
      <c r="T4" s="10" t="s">
        <v>272</v>
      </c>
      <c r="U4" s="10" t="s">
        <v>274</v>
      </c>
      <c r="V4" s="10" t="s">
        <v>275</v>
      </c>
      <c r="W4" s="10" t="s">
        <v>276</v>
      </c>
      <c r="X4" s="10" t="s">
        <v>277</v>
      </c>
      <c r="Y4" s="10" t="s">
        <v>278</v>
      </c>
      <c r="Z4" s="10" t="s">
        <v>279</v>
      </c>
      <c r="AA4" s="10" t="s">
        <v>280</v>
      </c>
      <c r="AB4" s="10" t="s">
        <v>272</v>
      </c>
      <c r="AC4" s="10" t="s">
        <v>282</v>
      </c>
      <c r="AD4" s="10" t="s">
        <v>272</v>
      </c>
      <c r="AE4" s="10" t="s">
        <v>284</v>
      </c>
      <c r="AF4" s="10" t="s">
        <v>285</v>
      </c>
      <c r="AG4" s="10" t="s">
        <v>272</v>
      </c>
      <c r="AH4" s="10" t="s">
        <v>287</v>
      </c>
      <c r="AI4" s="10" t="s">
        <v>288</v>
      </c>
      <c r="AJ4" s="10" t="s">
        <v>289</v>
      </c>
      <c r="AK4" s="10" t="s">
        <v>290</v>
      </c>
      <c r="AL4" s="10" t="s">
        <v>272</v>
      </c>
      <c r="AM4" s="107"/>
      <c r="AO4" s="27" t="s">
        <v>384</v>
      </c>
      <c r="AP4" s="110"/>
    </row>
    <row r="5" spans="1:42" ht="11.25" customHeight="1" x14ac:dyDescent="0.25">
      <c r="A5" s="103" t="s">
        <v>58</v>
      </c>
      <c r="B5" s="103" t="s">
        <v>63</v>
      </c>
      <c r="C5" s="103" t="s">
        <v>25</v>
      </c>
      <c r="D5" s="103" t="s">
        <v>25</v>
      </c>
      <c r="E5" s="103" t="s">
        <v>25</v>
      </c>
      <c r="F5" s="103" t="s">
        <v>25</v>
      </c>
      <c r="G5" s="24" t="s">
        <v>65</v>
      </c>
      <c r="H5" s="24" t="s">
        <v>64</v>
      </c>
      <c r="I5" s="24">
        <f>'MERCADO TUSD'!$U$2+0.00000001</f>
        <v>1E-8</v>
      </c>
      <c r="J5" s="15"/>
      <c r="L5" s="13">
        <f>'TUSD BE'!$L$5*'TUSD BE'!$L$58</f>
        <v>0</v>
      </c>
      <c r="M5" s="13">
        <f>'TUSD BE'!$M$5*'TUSD BE'!$M$58</f>
        <v>0</v>
      </c>
      <c r="N5" s="13">
        <f ca="1">'TUSD BE'!$N$5*'TUSD BE'!$N$58</f>
        <v>0</v>
      </c>
      <c r="O5" s="13">
        <f>'TUSD BE'!$O$5*'TUSD BE'!$O$58</f>
        <v>0</v>
      </c>
      <c r="P5" s="13">
        <f>'TUSD BE'!$P$5*'TUSD BE'!$P$58</f>
        <v>0</v>
      </c>
      <c r="Q5" s="13">
        <f>'TUSD BE'!$Q$5*'TUSD BE'!$Q$58</f>
        <v>0</v>
      </c>
      <c r="R5" s="13">
        <f>'TUSD BE'!$R$5*'TUSD BE'!$R$58</f>
        <v>0</v>
      </c>
      <c r="S5" s="13">
        <f>'TUSD BE'!$R$5*'TUSD BE'!$S$58</f>
        <v>0</v>
      </c>
      <c r="T5" s="13">
        <f ca="1">SUM($L$5:$S$5)</f>
        <v>0</v>
      </c>
      <c r="U5" s="13">
        <f>'TUSD BE'!$U$5*'TUSD BE'!$U$58</f>
        <v>0</v>
      </c>
      <c r="V5" s="13">
        <f>'TUSD BE'!$V$5*'TUSD BE'!$V$58</f>
        <v>0</v>
      </c>
      <c r="W5" s="13">
        <f>'TUSD BE'!$W$5*'TUSD BE'!$W$58</f>
        <v>0</v>
      </c>
      <c r="X5" s="13">
        <f>'TUSD BE'!$X$5*'TUSD BE'!$X$58</f>
        <v>0</v>
      </c>
      <c r="Y5" s="13">
        <f>'TUSD BE'!$Y$5*'TUSD BE'!$Y$58</f>
        <v>-0.85592406218841455</v>
      </c>
      <c r="Z5" s="13">
        <f>'TUSD BE'!$Z$5*'TUSD BE'!$Z$58</f>
        <v>0</v>
      </c>
      <c r="AA5" s="13">
        <f>'TUSD BE'!$AA$5*'TUSD BE'!$AA$58</f>
        <v>0</v>
      </c>
      <c r="AB5" s="13">
        <f>SUM($U$5:$AA$5)</f>
        <v>-0.85592406218841455</v>
      </c>
      <c r="AC5" s="13">
        <f>'TUSD BE'!$AC$5*'TUSD BE'!$AC$58</f>
        <v>-76.17398868526459</v>
      </c>
      <c r="AD5" s="13">
        <f>SUM($AC$5:$AC$5)</f>
        <v>-76.17398868526459</v>
      </c>
      <c r="AE5" s="13">
        <f ca="1">$AO$5*$AO$55</f>
        <v>0</v>
      </c>
      <c r="AF5" s="13">
        <f ca="1">$AP$5*$AP$55</f>
        <v>0</v>
      </c>
      <c r="AG5" s="13">
        <f ca="1">SUM($AE$5:$AF$5)</f>
        <v>0</v>
      </c>
      <c r="AH5" s="13">
        <f>'TUSD BE'!$AH$5*'TUSD BE'!$AH$58</f>
        <v>0</v>
      </c>
      <c r="AI5" s="13">
        <f>'TUSD BE'!$AI$5*'TUSD BE'!$AI$58</f>
        <v>0</v>
      </c>
      <c r="AJ5" s="13">
        <f ca="1">'TUSD BE'!$AJ$5*'TUSD BE'!$AJ$58</f>
        <v>0</v>
      </c>
      <c r="AK5" s="13">
        <f ca="1">'TUSD BE'!$AK$5*'TUSD BE'!$AK$58</f>
        <v>0</v>
      </c>
      <c r="AL5" s="13">
        <f ca="1">SUM($AH$5:$AK$5)</f>
        <v>0</v>
      </c>
      <c r="AM5" s="13">
        <f ca="1">SUMIF($L$4:$AL$4,"SUBTOTAL",$L$5:$AL$5)</f>
        <v>-77.029912747453011</v>
      </c>
      <c r="AO5" s="26">
        <f ca="1">+'TUSD BE'!$T$5+'TUSD BE'!$AB$5+'TUSD BE'!$AD$5+'TUSD BE'!$AL$5</f>
        <v>168.51159185262887</v>
      </c>
      <c r="AP5" s="26">
        <f ca="1">+'TUSD BE'!$T$5+'TUSD BE'!$AB$5+'TUSD BE'!$AD$5+'TUSD BE'!$AL$5</f>
        <v>168.51159185262887</v>
      </c>
    </row>
    <row r="6" spans="1:42" ht="11.25" customHeight="1" x14ac:dyDescent="0.25">
      <c r="A6" s="103"/>
      <c r="B6" s="103"/>
      <c r="C6" s="103"/>
      <c r="D6" s="103"/>
      <c r="E6" s="103"/>
      <c r="F6" s="103"/>
      <c r="G6" s="24" t="s">
        <v>66</v>
      </c>
      <c r="H6" s="24" t="s">
        <v>64</v>
      </c>
      <c r="I6" s="24">
        <f>'MERCADO TUSD'!$U$3+0.00000001</f>
        <v>1E-8</v>
      </c>
      <c r="J6" s="15"/>
      <c r="L6" s="13">
        <f>'TUSD BE'!$L$6*'TUSD BE'!$L$58</f>
        <v>0</v>
      </c>
      <c r="M6" s="13">
        <f>'TUSD BE'!$M$6*'TUSD BE'!$M$58</f>
        <v>0</v>
      </c>
      <c r="N6" s="13">
        <f ca="1">'TUSD BE'!$N$6*'TUSD BE'!$N$58</f>
        <v>0</v>
      </c>
      <c r="O6" s="13">
        <f>'TUSD BE'!$O$6*'TUSD BE'!$O$58</f>
        <v>0</v>
      </c>
      <c r="P6" s="13">
        <f>'TUSD BE'!$P$6*'TUSD BE'!$P$58</f>
        <v>0</v>
      </c>
      <c r="Q6" s="13">
        <f>'TUSD BE'!$Q$6*'TUSD BE'!$Q$58</f>
        <v>0</v>
      </c>
      <c r="R6" s="13">
        <f>'TUSD BE'!$R$6*'TUSD BE'!$R$58</f>
        <v>0</v>
      </c>
      <c r="S6" s="13">
        <f>'TUSD BE'!$R$6*'TUSD BE'!$S$58</f>
        <v>0</v>
      </c>
      <c r="T6" s="13">
        <f ca="1">SUM($L$6:$S$6)</f>
        <v>0</v>
      </c>
      <c r="U6" s="13">
        <f>'TUSD BE'!$U$6*'TUSD BE'!$U$58</f>
        <v>0</v>
      </c>
      <c r="V6" s="13">
        <f>'TUSD BE'!$V$6*'TUSD BE'!$V$58</f>
        <v>0</v>
      </c>
      <c r="W6" s="13">
        <f>'TUSD BE'!$W$6*'TUSD BE'!$W$58</f>
        <v>0</v>
      </c>
      <c r="X6" s="13">
        <f>'TUSD BE'!$X$6*'TUSD BE'!$X$58</f>
        <v>0</v>
      </c>
      <c r="Y6" s="13">
        <f>'TUSD BE'!$Y$6*'TUSD BE'!$Y$58</f>
        <v>-0.34595406293161346</v>
      </c>
      <c r="Z6" s="13">
        <f>'TUSD BE'!$Z$6*'TUSD BE'!$Z$58</f>
        <v>0</v>
      </c>
      <c r="AA6" s="13">
        <f>'TUSD BE'!$AA$6*'TUSD BE'!$AA$58</f>
        <v>0</v>
      </c>
      <c r="AB6" s="13">
        <f>SUM($U$6:$AA$6)</f>
        <v>-0.34595406293161346</v>
      </c>
      <c r="AC6" s="13">
        <f>'TUSD BE'!$AC$6*'TUSD BE'!$AC$58</f>
        <v>-21.285560765374413</v>
      </c>
      <c r="AD6" s="13">
        <f>SUM($AC$6:$AC$6)</f>
        <v>-21.285560765374413</v>
      </c>
      <c r="AE6" s="13">
        <f ca="1">$AO$6*$AO$55</f>
        <v>0</v>
      </c>
      <c r="AF6" s="13">
        <f ca="1">$AP$6*$AP$55</f>
        <v>0</v>
      </c>
      <c r="AG6" s="13">
        <f ca="1">SUM($AE$6:$AF$6)</f>
        <v>0</v>
      </c>
      <c r="AH6" s="13">
        <f>'TUSD BE'!$AH$6*'TUSD BE'!$AH$58</f>
        <v>0</v>
      </c>
      <c r="AI6" s="13">
        <f>'TUSD BE'!$AI$6*'TUSD BE'!$AI$58</f>
        <v>0</v>
      </c>
      <c r="AJ6" s="13">
        <f ca="1">'TUSD BE'!$AJ$6*'TUSD BE'!$AJ$58</f>
        <v>0</v>
      </c>
      <c r="AK6" s="13">
        <f ca="1">'TUSD BE'!$AK$6*'TUSD BE'!$AK$58</f>
        <v>0</v>
      </c>
      <c r="AL6" s="13">
        <f ca="1">SUM($AH$6:$AK$6)</f>
        <v>0</v>
      </c>
      <c r="AM6" s="13">
        <f ca="1">SUMIF($L$4:$AL$4,"SUBTOTAL",$L$6:$AL$6)</f>
        <v>-21.631514828306027</v>
      </c>
      <c r="AO6" s="26">
        <f ca="1">+'TUSD BE'!$T$6+'TUSD BE'!$AB$6+'TUSD BE'!$AD$6+'TUSD BE'!$AL$6</f>
        <v>53.194488915225733</v>
      </c>
      <c r="AP6" s="26">
        <f ca="1">+'TUSD BE'!$T$6+'TUSD BE'!$AB$6+'TUSD BE'!$AD$6+'TUSD BE'!$AL$6</f>
        <v>53.194488915225733</v>
      </c>
    </row>
    <row r="7" spans="1:42" ht="11.25" customHeight="1" x14ac:dyDescent="0.25">
      <c r="A7" s="103"/>
      <c r="B7" s="103"/>
      <c r="C7" s="103"/>
      <c r="D7" s="103"/>
      <c r="E7" s="103"/>
      <c r="F7" s="103"/>
      <c r="G7" s="24" t="s">
        <v>67</v>
      </c>
      <c r="H7" s="24" t="s">
        <v>60</v>
      </c>
      <c r="I7" s="24">
        <f>'MERCADO TUSD'!$U$4+0.00000001</f>
        <v>1E-8</v>
      </c>
      <c r="J7" s="15"/>
      <c r="L7" s="13">
        <f>'TUSD BE'!$L$7*'TUSD BE'!$L$58</f>
        <v>-0.58687103612138547</v>
      </c>
      <c r="M7" s="13">
        <f>'TUSD BE'!$M$7*'TUSD BE'!$M$58</f>
        <v>-0.13127229303081092</v>
      </c>
      <c r="N7" s="13">
        <f ca="1">'TUSD BE'!$N$7*'TUSD BE'!$N$58</f>
        <v>0</v>
      </c>
      <c r="O7" s="13">
        <f>'TUSD BE'!$O$7*'TUSD BE'!$O$58</f>
        <v>0</v>
      </c>
      <c r="P7" s="13">
        <f>'TUSD BE'!$P$7*'TUSD BE'!$P$58</f>
        <v>0</v>
      </c>
      <c r="Q7" s="13">
        <f>'TUSD BE'!$Q$7*'TUSD BE'!$Q$58</f>
        <v>-1.102272352950656</v>
      </c>
      <c r="R7" s="13">
        <f>'TUSD BE'!$R$7*'TUSD BE'!$R$58</f>
        <v>-0.20295343846302683</v>
      </c>
      <c r="S7" s="13">
        <f>'TUSD BE'!$R$7*'TUSD BE'!$S$58</f>
        <v>0</v>
      </c>
      <c r="T7" s="13">
        <f ca="1">SUM($L$7:$S$7)</f>
        <v>-2.0233691205658793</v>
      </c>
      <c r="U7" s="13">
        <f>'TUSD BE'!$U$7*'TUSD BE'!$U$58</f>
        <v>0</v>
      </c>
      <c r="V7" s="13">
        <f>'TUSD BE'!$V$7*'TUSD BE'!$V$58</f>
        <v>0</v>
      </c>
      <c r="W7" s="13">
        <f>'TUSD BE'!$W$7*'TUSD BE'!$W$58</f>
        <v>0</v>
      </c>
      <c r="X7" s="13">
        <f>'TUSD BE'!$X$7*'TUSD BE'!$X$58</f>
        <v>0</v>
      </c>
      <c r="Y7" s="13">
        <f>'TUSD BE'!$Y$7*'TUSD BE'!$Y$58</f>
        <v>0</v>
      </c>
      <c r="Z7" s="13">
        <f>'TUSD BE'!$Z$7*'TUSD BE'!$Z$58</f>
        <v>0</v>
      </c>
      <c r="AA7" s="13">
        <f>'TUSD BE'!$AA$7*'TUSD BE'!$AA$58</f>
        <v>0</v>
      </c>
      <c r="AB7" s="13">
        <f>SUM($U$7:$AA$7)</f>
        <v>0</v>
      </c>
      <c r="AC7" s="13">
        <f>'TUSD BE'!$AC$7*'TUSD BE'!$AC$58</f>
        <v>0</v>
      </c>
      <c r="AD7" s="13">
        <f>SUM($AC$7:$AC$7)</f>
        <v>0</v>
      </c>
      <c r="AE7" s="13">
        <f ca="1">$AO$7*$AO$55</f>
        <v>0</v>
      </c>
      <c r="AF7" s="13">
        <f ca="1">$AP$7*$AP$55</f>
        <v>0</v>
      </c>
      <c r="AG7" s="13">
        <f ca="1">SUM($AE$7:$AF$7)</f>
        <v>0</v>
      </c>
      <c r="AH7" s="13">
        <f>'TUSD BE'!$AH$7*'TUSD BE'!$AH$58</f>
        <v>-0.23850600321056123</v>
      </c>
      <c r="AI7" s="13">
        <f>'TUSD BE'!$AI$7*'TUSD BE'!$AI$58</f>
        <v>0</v>
      </c>
      <c r="AJ7" s="13">
        <f ca="1">'TUSD BE'!$AJ$7*'TUSD BE'!$AJ$58</f>
        <v>0</v>
      </c>
      <c r="AK7" s="13">
        <f ca="1">'TUSD BE'!$AK$7*'TUSD BE'!$AK$58</f>
        <v>0</v>
      </c>
      <c r="AL7" s="13">
        <f ca="1">SUM($AH$7:$AK$7)</f>
        <v>-0.23850600321056123</v>
      </c>
      <c r="AM7" s="13">
        <f ca="1">SUMIF($L$4:$AL$4,"SUBTOTAL",$L$7:$AL$7)</f>
        <v>-2.2618751237764405</v>
      </c>
      <c r="AO7" s="26">
        <f ca="1">+'TUSD BE'!$T$7+'TUSD BE'!$AB$7+'TUSD BE'!$AD$7+'TUSD BE'!$AL$7</f>
        <v>126.31357487375762</v>
      </c>
      <c r="AP7" s="26">
        <f ca="1">+'TUSD BE'!$T$7+'TUSD BE'!$AB$7+'TUSD BE'!$AD$7+'TUSD BE'!$AL$7</f>
        <v>126.31357487375762</v>
      </c>
    </row>
    <row r="8" spans="1:42" ht="11.25" customHeight="1" x14ac:dyDescent="0.25">
      <c r="A8" s="103"/>
      <c r="B8" s="103"/>
      <c r="C8" s="103"/>
      <c r="D8" s="103"/>
      <c r="E8" s="23" t="s">
        <v>68</v>
      </c>
      <c r="F8" s="23" t="s">
        <v>25</v>
      </c>
      <c r="G8" s="24" t="s">
        <v>67</v>
      </c>
      <c r="H8" s="24" t="s">
        <v>60</v>
      </c>
      <c r="I8" s="24">
        <f>'MERCADO TUSD'!$U$5+0.00000001</f>
        <v>1E-8</v>
      </c>
      <c r="J8" s="15"/>
      <c r="L8" s="13">
        <f>'TUSD BE'!$L$8*'TUSD BE'!$L$58</f>
        <v>0</v>
      </c>
      <c r="M8" s="13">
        <f>'TUSD BE'!$M$8*'TUSD BE'!$M$58</f>
        <v>-0.13127229303081092</v>
      </c>
      <c r="N8" s="13">
        <f ca="1">'TUSD BE'!$N$8*'TUSD BE'!$N$58</f>
        <v>0</v>
      </c>
      <c r="O8" s="13">
        <f>'TUSD BE'!$O$8*'TUSD BE'!$O$58</f>
        <v>0</v>
      </c>
      <c r="P8" s="13">
        <f>'TUSD BE'!$P$8*'TUSD BE'!$P$58</f>
        <v>0</v>
      </c>
      <c r="Q8" s="13">
        <f>'TUSD BE'!$Q$8*'TUSD BE'!$Q$58</f>
        <v>0</v>
      </c>
      <c r="R8" s="13">
        <f>'TUSD BE'!$R$8*'TUSD BE'!$R$58</f>
        <v>0</v>
      </c>
      <c r="S8" s="13">
        <f>'TUSD BE'!$R$8*'TUSD BE'!$S$58</f>
        <v>0</v>
      </c>
      <c r="T8" s="13">
        <f ca="1">SUM($L$8:$S$8)</f>
        <v>-0.13127229303081092</v>
      </c>
      <c r="U8" s="13">
        <f>'TUSD BE'!$U$8*'TUSD BE'!$U$58</f>
        <v>0</v>
      </c>
      <c r="V8" s="13">
        <f>'TUSD BE'!$V$8*'TUSD BE'!$V$58</f>
        <v>0</v>
      </c>
      <c r="W8" s="13">
        <f>'TUSD BE'!$W$8*'TUSD BE'!$W$58</f>
        <v>0</v>
      </c>
      <c r="X8" s="13">
        <f>'TUSD BE'!$X$8*'TUSD BE'!$X$58</f>
        <v>0</v>
      </c>
      <c r="Y8" s="13">
        <f>'TUSD BE'!$Y$8*'TUSD BE'!$Y$58</f>
        <v>0</v>
      </c>
      <c r="Z8" s="13">
        <f>'TUSD BE'!$Z$8*'TUSD BE'!$Z$58</f>
        <v>0</v>
      </c>
      <c r="AA8" s="13">
        <f>'TUSD BE'!$AA$8*'TUSD BE'!$AA$58</f>
        <v>0</v>
      </c>
      <c r="AB8" s="13">
        <f>SUM($U$8:$AA$8)</f>
        <v>0</v>
      </c>
      <c r="AC8" s="13">
        <f>'TUSD BE'!$AC$8*'TUSD BE'!$AC$58</f>
        <v>0</v>
      </c>
      <c r="AD8" s="13">
        <f>SUM($AC$8:$AC$8)</f>
        <v>0</v>
      </c>
      <c r="AE8" s="13">
        <f ca="1">$AO$8*$AO$55</f>
        <v>0</v>
      </c>
      <c r="AF8" s="13">
        <f ca="1">$AP$8*$AP$55</f>
        <v>0</v>
      </c>
      <c r="AG8" s="13">
        <f ca="1">SUM($AE$8:$AF$8)</f>
        <v>0</v>
      </c>
      <c r="AH8" s="13">
        <f>'TUSD BE'!$AH$8*'TUSD BE'!$AH$58</f>
        <v>-0.23850600321056123</v>
      </c>
      <c r="AI8" s="13">
        <f>'TUSD BE'!$AI$8*'TUSD BE'!$AI$58</f>
        <v>0</v>
      </c>
      <c r="AJ8" s="13">
        <f ca="1">'TUSD BE'!$AJ$8*'TUSD BE'!$AJ$58</f>
        <v>0</v>
      </c>
      <c r="AK8" s="13">
        <f ca="1">'TUSD BE'!$AK$8*'TUSD BE'!$AK$58</f>
        <v>0</v>
      </c>
      <c r="AL8" s="13">
        <f ca="1">SUM($AH$8:$AK$8)</f>
        <v>-0.23850600321056123</v>
      </c>
      <c r="AM8" s="13">
        <f ca="1">SUMIF($L$4:$AL$4,"SUBTOTAL",$L$8:$AL$8)</f>
        <v>-0.36977829624137215</v>
      </c>
      <c r="AO8" s="26">
        <f ca="1">+'TUSD BE'!$T$8+'TUSD BE'!$AB$8+'TUSD BE'!$AD$8+'TUSD BE'!$AL$8</f>
        <v>9.6444188552622769</v>
      </c>
      <c r="AP8" s="26">
        <f ca="1">+'TUSD BE'!$T$8+'TUSD BE'!$AB$8+'TUSD BE'!$AD$8+'TUSD BE'!$AL$8</f>
        <v>9.6444188552622769</v>
      </c>
    </row>
    <row r="9" spans="1:42" ht="11.25" customHeight="1" x14ac:dyDescent="0.25">
      <c r="A9" s="103"/>
      <c r="B9" s="23" t="s">
        <v>69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64</v>
      </c>
      <c r="I9" s="24">
        <f>'MERCADO TUSD'!$U$6+0.00000001</f>
        <v>1E-8</v>
      </c>
      <c r="J9" s="15"/>
      <c r="L9" s="13">
        <f>'TUSD BE'!$L$9*'TUSD BE'!$L$58</f>
        <v>0</v>
      </c>
      <c r="M9" s="13">
        <f>'TUSD BE'!$M$9*'TUSD BE'!$M$58</f>
        <v>-2.9779811642798026E-4</v>
      </c>
      <c r="N9" s="13">
        <f ca="1">'TUSD BE'!$N$9*'TUSD BE'!$N$58</f>
        <v>0</v>
      </c>
      <c r="O9" s="13">
        <f>'TUSD BE'!$O$9*'TUSD BE'!$O$58</f>
        <v>0</v>
      </c>
      <c r="P9" s="13">
        <f>'TUSD BE'!$P$9*'TUSD BE'!$P$58</f>
        <v>0</v>
      </c>
      <c r="Q9" s="13">
        <f>'TUSD BE'!$Q$9*'TUSD BE'!$Q$58</f>
        <v>0</v>
      </c>
      <c r="R9" s="13">
        <f>'TUSD BE'!$R$9*'TUSD BE'!$R$58</f>
        <v>0</v>
      </c>
      <c r="S9" s="13">
        <f>'TUSD BE'!$R$9*'TUSD BE'!$S$58</f>
        <v>0</v>
      </c>
      <c r="T9" s="13">
        <f ca="1">SUM($L$9:$S$9)</f>
        <v>-2.9779811642798026E-4</v>
      </c>
      <c r="U9" s="13">
        <f>'TUSD BE'!$U$9*'TUSD BE'!$U$58</f>
        <v>0</v>
      </c>
      <c r="V9" s="13">
        <f>'TUSD BE'!$V$9*'TUSD BE'!$V$58</f>
        <v>0</v>
      </c>
      <c r="W9" s="13">
        <f>'TUSD BE'!$W$9*'TUSD BE'!$W$58</f>
        <v>0</v>
      </c>
      <c r="X9" s="13">
        <f>'TUSD BE'!$X$9*'TUSD BE'!$X$58</f>
        <v>0</v>
      </c>
      <c r="Y9" s="13">
        <f>'TUSD BE'!$Y$9*'TUSD BE'!$Y$58</f>
        <v>0</v>
      </c>
      <c r="Z9" s="13">
        <f>'TUSD BE'!$Z$9*'TUSD BE'!$Z$58</f>
        <v>0</v>
      </c>
      <c r="AA9" s="13">
        <f>'TUSD BE'!$AA$9*'TUSD BE'!$AA$58</f>
        <v>0</v>
      </c>
      <c r="AB9" s="13">
        <f>SUM($U$9:$AA$9)</f>
        <v>0</v>
      </c>
      <c r="AC9" s="13">
        <f>'TUSD BE'!$AC$9*'TUSD BE'!$AC$58</f>
        <v>-9.6296636704490126</v>
      </c>
      <c r="AD9" s="13">
        <f>SUM($AC$9:$AC$9)</f>
        <v>-9.6296636704490126</v>
      </c>
      <c r="AE9" s="13">
        <f ca="1">$AO$9*$AO$55</f>
        <v>0</v>
      </c>
      <c r="AF9" s="13">
        <f ca="1">$AP$9*$AP$55</f>
        <v>0</v>
      </c>
      <c r="AG9" s="13">
        <f ca="1">SUM($AE$9:$AF$9)</f>
        <v>0</v>
      </c>
      <c r="AH9" s="13">
        <f>'TUSD BE'!$AH$9*'TUSD BE'!$AH$58</f>
        <v>0</v>
      </c>
      <c r="AI9" s="13">
        <f>'TUSD BE'!$AI$9*'TUSD BE'!$AI$58</f>
        <v>0</v>
      </c>
      <c r="AJ9" s="13">
        <f ca="1">'TUSD BE'!$AJ$9*'TUSD BE'!$AJ$58</f>
        <v>0</v>
      </c>
      <c r="AK9" s="13">
        <f ca="1">'TUSD BE'!$AK$9*'TUSD BE'!$AK$58</f>
        <v>0</v>
      </c>
      <c r="AL9" s="13">
        <f ca="1">SUM($AH$9:$AK$9)</f>
        <v>0</v>
      </c>
      <c r="AM9" s="13">
        <f ca="1">SUMIF($L$4:$AL$4,"SUBTOTAL",$L$9:$AL$9)</f>
        <v>-9.6299614685654404</v>
      </c>
      <c r="AO9" s="26">
        <f ca="1">+'TUSD BE'!$T$9+'TUSD BE'!$AB$9+'TUSD BE'!$AD$9+'TUSD BE'!$AL$9</f>
        <v>15.124989472541907</v>
      </c>
      <c r="AP9" s="26">
        <f ca="1">+'TUSD BE'!$T$9+'TUSD BE'!$AB$9+'TUSD BE'!$AD$9+'TUSD BE'!$AL$9</f>
        <v>15.124989472541907</v>
      </c>
    </row>
    <row r="10" spans="1:42" ht="11.25" customHeight="1" x14ac:dyDescent="0.25">
      <c r="A10" s="103"/>
      <c r="B10" s="103" t="s">
        <v>70</v>
      </c>
      <c r="C10" s="103" t="s">
        <v>25</v>
      </c>
      <c r="D10" s="103" t="s">
        <v>25</v>
      </c>
      <c r="E10" s="103" t="s">
        <v>25</v>
      </c>
      <c r="F10" s="103" t="s">
        <v>25</v>
      </c>
      <c r="G10" s="24" t="s">
        <v>9</v>
      </c>
      <c r="H10" s="24" t="s">
        <v>64</v>
      </c>
      <c r="I10" s="24">
        <f>'MERCADO TUSD'!$U$7+0.00000001</f>
        <v>1E-8</v>
      </c>
      <c r="J10" s="15"/>
      <c r="L10" s="13">
        <f>'TUSD BE'!$L$10*'TUSD BE'!$L$58</f>
        <v>0</v>
      </c>
      <c r="M10" s="13">
        <f>'TUSD BE'!$M$10*'TUSD BE'!$M$58</f>
        <v>0</v>
      </c>
      <c r="N10" s="13">
        <f ca="1">'TUSD BE'!$N$10*'TUSD BE'!$N$58</f>
        <v>0</v>
      </c>
      <c r="O10" s="13">
        <f>'TUSD BE'!$O$10*'TUSD BE'!$O$58</f>
        <v>0</v>
      </c>
      <c r="P10" s="13">
        <f>'TUSD BE'!$P$10*'TUSD BE'!$P$58</f>
        <v>0</v>
      </c>
      <c r="Q10" s="13">
        <f>'TUSD BE'!$Q$10*'TUSD BE'!$Q$58</f>
        <v>0</v>
      </c>
      <c r="R10" s="13">
        <f>'TUSD BE'!$R$10*'TUSD BE'!$R$58</f>
        <v>0</v>
      </c>
      <c r="S10" s="13">
        <f>'TUSD BE'!$R$10*'TUSD BE'!$S$58</f>
        <v>0</v>
      </c>
      <c r="T10" s="13">
        <f ca="1">SUM($L$10:$S$10)</f>
        <v>0</v>
      </c>
      <c r="U10" s="13">
        <f>'TUSD BE'!$U$10*'TUSD BE'!$U$58</f>
        <v>0</v>
      </c>
      <c r="V10" s="13">
        <f>'TUSD BE'!$V$10*'TUSD BE'!$V$58</f>
        <v>0</v>
      </c>
      <c r="W10" s="13">
        <f>'TUSD BE'!$W$10*'TUSD BE'!$W$58</f>
        <v>0</v>
      </c>
      <c r="X10" s="13">
        <f>'TUSD BE'!$X$10*'TUSD BE'!$X$58</f>
        <v>0</v>
      </c>
      <c r="Y10" s="13">
        <f>'TUSD BE'!$Y$10*'TUSD BE'!$Y$58</f>
        <v>-0.34595406293161346</v>
      </c>
      <c r="Z10" s="13">
        <f>'TUSD BE'!$Z$10*'TUSD BE'!$Z$58</f>
        <v>0</v>
      </c>
      <c r="AA10" s="13">
        <f>'TUSD BE'!$AA$10*'TUSD BE'!$AA$58</f>
        <v>0</v>
      </c>
      <c r="AB10" s="13">
        <f>SUM($U$10:$AA$10)</f>
        <v>-0.34595406293161346</v>
      </c>
      <c r="AC10" s="13">
        <f>'TUSD BE'!$AC$10*'TUSD BE'!$AC$58</f>
        <v>-21.285560765374413</v>
      </c>
      <c r="AD10" s="13">
        <f>SUM($AC$10:$AC$10)</f>
        <v>-21.285560765374413</v>
      </c>
      <c r="AE10" s="13">
        <f ca="1">$AO$10*$AO$55</f>
        <v>0</v>
      </c>
      <c r="AF10" s="13">
        <f ca="1">$AP$10*$AP$55</f>
        <v>0</v>
      </c>
      <c r="AG10" s="13">
        <f ca="1">SUM($AE$10:$AF$10)</f>
        <v>0</v>
      </c>
      <c r="AH10" s="13">
        <f>'TUSD BE'!$AH$10*'TUSD BE'!$AH$58</f>
        <v>0</v>
      </c>
      <c r="AI10" s="13">
        <f>'TUSD BE'!$AI$10*'TUSD BE'!$AI$58</f>
        <v>0</v>
      </c>
      <c r="AJ10" s="13">
        <f ca="1">'TUSD BE'!$AJ$10*'TUSD BE'!$AJ$58</f>
        <v>0</v>
      </c>
      <c r="AK10" s="13">
        <f ca="1">'TUSD BE'!$AK$10*'TUSD BE'!$AK$58</f>
        <v>0</v>
      </c>
      <c r="AL10" s="13">
        <f ca="1">SUM($AH$10:$AK$10)</f>
        <v>0</v>
      </c>
      <c r="AM10" s="13">
        <f ca="1">SUMIF($L$4:$AL$4,"SUBTOTAL",$L$10:$AL$10)</f>
        <v>-21.631514828306027</v>
      </c>
      <c r="AO10" s="26">
        <f ca="1">+'TUSD BE'!$T$10+'TUSD BE'!$AB$10+'TUSD BE'!$AD$10+'TUSD BE'!$AL$10</f>
        <v>53.194488915225733</v>
      </c>
      <c r="AP10" s="26">
        <f ca="1">+'TUSD BE'!$T$10+'TUSD BE'!$AB$10+'TUSD BE'!$AD$10+'TUSD BE'!$AL$10</f>
        <v>53.194488915225733</v>
      </c>
    </row>
    <row r="11" spans="1:42" ht="11.25" customHeight="1" x14ac:dyDescent="0.25">
      <c r="A11" s="103"/>
      <c r="B11" s="103"/>
      <c r="C11" s="103"/>
      <c r="D11" s="103"/>
      <c r="E11" s="103"/>
      <c r="F11" s="103"/>
      <c r="G11" s="24" t="s">
        <v>61</v>
      </c>
      <c r="H11" s="24" t="s">
        <v>60</v>
      </c>
      <c r="I11" s="24">
        <f>'MERCADO TUSD'!$U$8+0.00000001</f>
        <v>1E-8</v>
      </c>
      <c r="J11" s="15"/>
      <c r="L11" s="13">
        <f>'TUSD BE'!$L$11*'TUSD BE'!$L$58</f>
        <v>-0.58687103612138547</v>
      </c>
      <c r="M11" s="13">
        <f>'TUSD BE'!$M$11*'TUSD BE'!$M$58</f>
        <v>-0.13127229303081092</v>
      </c>
      <c r="N11" s="13">
        <f ca="1">'TUSD BE'!$N$11*'TUSD BE'!$N$58</f>
        <v>0</v>
      </c>
      <c r="O11" s="13">
        <f>'TUSD BE'!$O$11*'TUSD BE'!$O$58</f>
        <v>0</v>
      </c>
      <c r="P11" s="13">
        <f>'TUSD BE'!$P$11*'TUSD BE'!$P$58</f>
        <v>0</v>
      </c>
      <c r="Q11" s="13">
        <f>'TUSD BE'!$Q$11*'TUSD BE'!$Q$58</f>
        <v>-1.102272352950656</v>
      </c>
      <c r="R11" s="13">
        <f>'TUSD BE'!$R$11*'TUSD BE'!$R$58</f>
        <v>-0.20295343846302683</v>
      </c>
      <c r="S11" s="13">
        <f>'TUSD BE'!$R$11*'TUSD BE'!$S$58</f>
        <v>0</v>
      </c>
      <c r="T11" s="13">
        <f ca="1">SUM($L$11:$S$11)</f>
        <v>-2.0233691205658793</v>
      </c>
      <c r="U11" s="13">
        <f>'TUSD BE'!$U$11*'TUSD BE'!$U$58</f>
        <v>0</v>
      </c>
      <c r="V11" s="13">
        <f>'TUSD BE'!$V$11*'TUSD BE'!$V$58</f>
        <v>0</v>
      </c>
      <c r="W11" s="13">
        <f>'TUSD BE'!$W$11*'TUSD BE'!$W$58</f>
        <v>0</v>
      </c>
      <c r="X11" s="13">
        <f>'TUSD BE'!$X$11*'TUSD BE'!$X$58</f>
        <v>0</v>
      </c>
      <c r="Y11" s="13">
        <f>'TUSD BE'!$Y$11*'TUSD BE'!$Y$58</f>
        <v>-20.593195261175289</v>
      </c>
      <c r="Z11" s="13">
        <f>'TUSD BE'!$Z$11*'TUSD BE'!$Z$58</f>
        <v>0</v>
      </c>
      <c r="AA11" s="13">
        <f>'TUSD BE'!$AA$11*'TUSD BE'!$AA$58</f>
        <v>0</v>
      </c>
      <c r="AB11" s="13">
        <f>SUM($U$11:$AA$11)</f>
        <v>-20.593195261175289</v>
      </c>
      <c r="AC11" s="13">
        <f>'TUSD BE'!$AC$11*'TUSD BE'!$AC$58</f>
        <v>-1831.9857734818686</v>
      </c>
      <c r="AD11" s="13">
        <f>SUM($AC$11:$AC$11)</f>
        <v>-1831.9857734818686</v>
      </c>
      <c r="AE11" s="13">
        <f ca="1">$AO$11*$AO$55</f>
        <v>0</v>
      </c>
      <c r="AF11" s="13">
        <f ca="1">$AP$11*$AP$55</f>
        <v>0</v>
      </c>
      <c r="AG11" s="13">
        <f ca="1">SUM($AE$11:$AF$11)</f>
        <v>0</v>
      </c>
      <c r="AH11" s="13">
        <f>'TUSD BE'!$AH$11*'TUSD BE'!$AH$58</f>
        <v>-0.23850600321056123</v>
      </c>
      <c r="AI11" s="13">
        <f>'TUSD BE'!$AI$11*'TUSD BE'!$AI$58</f>
        <v>0</v>
      </c>
      <c r="AJ11" s="13">
        <f ca="1">'TUSD BE'!$AJ$11*'TUSD BE'!$AJ$58</f>
        <v>0</v>
      </c>
      <c r="AK11" s="13">
        <f ca="1">'TUSD BE'!$AK$11*'TUSD BE'!$AK$58</f>
        <v>0</v>
      </c>
      <c r="AL11" s="13">
        <f ca="1">SUM($AH$11:$AK$11)</f>
        <v>-0.23850600321056123</v>
      </c>
      <c r="AM11" s="13">
        <f ca="1">SUMIF($L$4:$AL$4,"SUBTOTAL",$L$11:$AL$11)</f>
        <v>-1854.8408438668205</v>
      </c>
      <c r="AO11" s="26">
        <f ca="1">+'TUSD BE'!$T$11+'TUSD BE'!$AB$11+'TUSD BE'!$AD$11+'TUSD BE'!$AL$11</f>
        <v>4179.4896584897269</v>
      </c>
      <c r="AP11" s="26">
        <f ca="1">+'TUSD BE'!$T$11+'TUSD BE'!$AB$11+'TUSD BE'!$AD$11+'TUSD BE'!$AL$11</f>
        <v>4179.4896584897269</v>
      </c>
    </row>
    <row r="12" spans="1:42" ht="11.25" customHeight="1" x14ac:dyDescent="0.25">
      <c r="A12" s="103"/>
      <c r="B12" s="103"/>
      <c r="C12" s="103"/>
      <c r="D12" s="103"/>
      <c r="E12" s="103"/>
      <c r="F12" s="103"/>
      <c r="G12" s="24" t="s">
        <v>62</v>
      </c>
      <c r="H12" s="24" t="s">
        <v>60</v>
      </c>
      <c r="I12" s="24">
        <f>'MERCADO TUSD'!$U$9+0.00000001</f>
        <v>1E-8</v>
      </c>
      <c r="J12" s="15"/>
      <c r="L12" s="13">
        <f>'TUSD BE'!$L$12*'TUSD BE'!$L$58</f>
        <v>-0.58687103612138547</v>
      </c>
      <c r="M12" s="13">
        <f>'TUSD BE'!$M$12*'TUSD BE'!$M$58</f>
        <v>-0.13127229303081092</v>
      </c>
      <c r="N12" s="13">
        <f ca="1">'TUSD BE'!$N$12*'TUSD BE'!$N$58</f>
        <v>0</v>
      </c>
      <c r="O12" s="13">
        <f>'TUSD BE'!$O$12*'TUSD BE'!$O$58</f>
        <v>0</v>
      </c>
      <c r="P12" s="13">
        <f>'TUSD BE'!$P$12*'TUSD BE'!$P$58</f>
        <v>0</v>
      </c>
      <c r="Q12" s="13">
        <f>'TUSD BE'!$Q$12*'TUSD BE'!$Q$58</f>
        <v>-1.102272352950656</v>
      </c>
      <c r="R12" s="13">
        <f>'TUSD BE'!$R$12*'TUSD BE'!$R$58</f>
        <v>-0.20295343846302683</v>
      </c>
      <c r="S12" s="13">
        <f>'TUSD BE'!$R$12*'TUSD BE'!$S$58</f>
        <v>0</v>
      </c>
      <c r="T12" s="13">
        <f ca="1">SUM($L$12:$S$12)</f>
        <v>-2.0233691205658793</v>
      </c>
      <c r="U12" s="13">
        <f>'TUSD BE'!$U$12*'TUSD BE'!$U$58</f>
        <v>0</v>
      </c>
      <c r="V12" s="13">
        <f>'TUSD BE'!$V$12*'TUSD BE'!$V$58</f>
        <v>0</v>
      </c>
      <c r="W12" s="13">
        <f>'TUSD BE'!$W$12*'TUSD BE'!$W$58</f>
        <v>0</v>
      </c>
      <c r="X12" s="13">
        <f>'TUSD BE'!$X$12*'TUSD BE'!$X$58</f>
        <v>0</v>
      </c>
      <c r="Y12" s="13">
        <f>'TUSD BE'!$Y$12*'TUSD BE'!$Y$58</f>
        <v>0</v>
      </c>
      <c r="Z12" s="13">
        <f>'TUSD BE'!$Z$12*'TUSD BE'!$Z$58</f>
        <v>0</v>
      </c>
      <c r="AA12" s="13">
        <f>'TUSD BE'!$AA$12*'TUSD BE'!$AA$58</f>
        <v>0</v>
      </c>
      <c r="AB12" s="13">
        <f>SUM($U$12:$AA$12)</f>
        <v>0</v>
      </c>
      <c r="AC12" s="13">
        <f>'TUSD BE'!$AC$12*'TUSD BE'!$AC$58</f>
        <v>0</v>
      </c>
      <c r="AD12" s="13">
        <f>SUM($AC$12:$AC$12)</f>
        <v>0</v>
      </c>
      <c r="AE12" s="13">
        <f ca="1">$AO$12*$AO$55</f>
        <v>0</v>
      </c>
      <c r="AF12" s="13">
        <f ca="1">$AP$12*$AP$55</f>
        <v>0</v>
      </c>
      <c r="AG12" s="13">
        <f ca="1">SUM($AE$12:$AF$12)</f>
        <v>0</v>
      </c>
      <c r="AH12" s="13">
        <f>'TUSD BE'!$AH$12*'TUSD BE'!$AH$58</f>
        <v>-0.23850600321056123</v>
      </c>
      <c r="AI12" s="13">
        <f>'TUSD BE'!$AI$12*'TUSD BE'!$AI$58</f>
        <v>0</v>
      </c>
      <c r="AJ12" s="13">
        <f ca="1">'TUSD BE'!$AJ$12*'TUSD BE'!$AJ$58</f>
        <v>0</v>
      </c>
      <c r="AK12" s="13">
        <f ca="1">'TUSD BE'!$AK$12*'TUSD BE'!$AK$58</f>
        <v>0</v>
      </c>
      <c r="AL12" s="13">
        <f ca="1">SUM($AH$12:$AK$12)</f>
        <v>-0.23850600321056123</v>
      </c>
      <c r="AM12" s="13">
        <f ca="1">SUMIF($L$4:$AL$4,"SUBTOTAL",$L$12:$AL$12)</f>
        <v>-2.2618751237764405</v>
      </c>
      <c r="AO12" s="26">
        <f ca="1">+'TUSD BE'!$T$12+'TUSD BE'!$AB$12+'TUSD BE'!$AD$12+'TUSD BE'!$AL$12</f>
        <v>126.31357487375762</v>
      </c>
      <c r="AP12" s="26">
        <f ca="1">+'TUSD BE'!$T$12+'TUSD BE'!$AB$12+'TUSD BE'!$AD$12+'TUSD BE'!$AL$12</f>
        <v>126.31357487375762</v>
      </c>
    </row>
    <row r="13" spans="1:42" ht="11.25" customHeight="1" x14ac:dyDescent="0.25">
      <c r="A13" s="103"/>
      <c r="B13" s="103"/>
      <c r="C13" s="103"/>
      <c r="D13" s="103"/>
      <c r="E13" s="103" t="s">
        <v>68</v>
      </c>
      <c r="F13" s="103" t="s">
        <v>25</v>
      </c>
      <c r="G13" s="24" t="s">
        <v>61</v>
      </c>
      <c r="H13" s="24" t="s">
        <v>60</v>
      </c>
      <c r="I13" s="24">
        <f>'MERCADO TUSD'!$U$10+0.00000001</f>
        <v>1E-8</v>
      </c>
      <c r="J13" s="15"/>
      <c r="L13" s="13">
        <f>'TUSD BE'!$L$13*'TUSD BE'!$L$58</f>
        <v>0</v>
      </c>
      <c r="M13" s="13">
        <f>'TUSD BE'!$M$13*'TUSD BE'!$M$58</f>
        <v>-0.13127229303081092</v>
      </c>
      <c r="N13" s="13">
        <f ca="1">'TUSD BE'!$N$13*'TUSD BE'!$N$58</f>
        <v>0</v>
      </c>
      <c r="O13" s="13">
        <f>'TUSD BE'!$O$13*'TUSD BE'!$O$58</f>
        <v>0</v>
      </c>
      <c r="P13" s="13">
        <f>'TUSD BE'!$P$13*'TUSD BE'!$P$58</f>
        <v>0</v>
      </c>
      <c r="Q13" s="13">
        <f>'TUSD BE'!$Q$13*'TUSD BE'!$Q$58</f>
        <v>0</v>
      </c>
      <c r="R13" s="13">
        <f>'TUSD BE'!$R$13*'TUSD BE'!$R$58</f>
        <v>0</v>
      </c>
      <c r="S13" s="13">
        <f>'TUSD BE'!$R$13*'TUSD BE'!$S$58</f>
        <v>0</v>
      </c>
      <c r="T13" s="13">
        <f ca="1">SUM($L$13:$S$13)</f>
        <v>-0.13127229303081092</v>
      </c>
      <c r="U13" s="13">
        <f>'TUSD BE'!$U$13*'TUSD BE'!$U$58</f>
        <v>0</v>
      </c>
      <c r="V13" s="13">
        <f>'TUSD BE'!$V$13*'TUSD BE'!$V$58</f>
        <v>0</v>
      </c>
      <c r="W13" s="13">
        <f>'TUSD BE'!$W$13*'TUSD BE'!$W$58</f>
        <v>0</v>
      </c>
      <c r="X13" s="13">
        <f>'TUSD BE'!$X$13*'TUSD BE'!$X$58</f>
        <v>0</v>
      </c>
      <c r="Y13" s="13">
        <f>'TUSD BE'!$Y$13*'TUSD BE'!$Y$58</f>
        <v>-20.593195261175289</v>
      </c>
      <c r="Z13" s="13">
        <f>'TUSD BE'!$Z$13*'TUSD BE'!$Z$58</f>
        <v>0</v>
      </c>
      <c r="AA13" s="13">
        <f>'TUSD BE'!$AA$13*'TUSD BE'!$AA$58</f>
        <v>0</v>
      </c>
      <c r="AB13" s="13">
        <f>SUM($U$13:$AA$13)</f>
        <v>-20.593195261175289</v>
      </c>
      <c r="AC13" s="13">
        <f>'TUSD BE'!$AC$13*'TUSD BE'!$AC$58</f>
        <v>-1831.9857734818686</v>
      </c>
      <c r="AD13" s="13">
        <f>SUM($AC$13:$AC$13)</f>
        <v>-1831.9857734818686</v>
      </c>
      <c r="AE13" s="13">
        <f ca="1">$AO$13*$AO$55</f>
        <v>0</v>
      </c>
      <c r="AF13" s="13">
        <f ca="1">$AP$13*$AP$55</f>
        <v>0</v>
      </c>
      <c r="AG13" s="13">
        <f ca="1">SUM($AE$13:$AF$13)</f>
        <v>0</v>
      </c>
      <c r="AH13" s="13">
        <f>'TUSD BE'!$AH$13*'TUSD BE'!$AH$58</f>
        <v>-0.23850600321056123</v>
      </c>
      <c r="AI13" s="13">
        <f>'TUSD BE'!$AI$13*'TUSD BE'!$AI$58</f>
        <v>0</v>
      </c>
      <c r="AJ13" s="13">
        <f ca="1">'TUSD BE'!$AJ$13*'TUSD BE'!$AJ$58</f>
        <v>0</v>
      </c>
      <c r="AK13" s="13">
        <f ca="1">'TUSD BE'!$AK$13*'TUSD BE'!$AK$58</f>
        <v>0</v>
      </c>
      <c r="AL13" s="13">
        <f ca="1">SUM($AH$13:$AK$13)</f>
        <v>-0.23850600321056123</v>
      </c>
      <c r="AM13" s="13">
        <f ca="1">SUMIF($L$4:$AL$4,"SUBTOTAL",$L$13:$AL$13)</f>
        <v>-1852.9487470392853</v>
      </c>
      <c r="AO13" s="26">
        <f ca="1">+'TUSD BE'!$T$13+'TUSD BE'!$AB$13+'TUSD BE'!$AD$13+'TUSD BE'!$AL$13</f>
        <v>4062.820502471232</v>
      </c>
      <c r="AP13" s="26">
        <f ca="1">+'TUSD BE'!$T$13+'TUSD BE'!$AB$13+'TUSD BE'!$AD$13+'TUSD BE'!$AL$13</f>
        <v>4062.820502471232</v>
      </c>
    </row>
    <row r="14" spans="1:42" ht="11.25" customHeight="1" x14ac:dyDescent="0.25">
      <c r="A14" s="103"/>
      <c r="B14" s="103"/>
      <c r="C14" s="103"/>
      <c r="D14" s="103"/>
      <c r="E14" s="103"/>
      <c r="F14" s="103"/>
      <c r="G14" s="24" t="s">
        <v>62</v>
      </c>
      <c r="H14" s="24" t="s">
        <v>60</v>
      </c>
      <c r="I14" s="24">
        <f>'MERCADO TUSD'!$U$11+0.00000001</f>
        <v>1E-8</v>
      </c>
      <c r="J14" s="15"/>
      <c r="L14" s="13">
        <f>'TUSD BE'!$L$14*'TUSD BE'!$L$58</f>
        <v>0</v>
      </c>
      <c r="M14" s="13">
        <f>'TUSD BE'!$M$14*'TUSD BE'!$M$58</f>
        <v>-0.13127229303081092</v>
      </c>
      <c r="N14" s="13">
        <f ca="1">'TUSD BE'!$N$14*'TUSD BE'!$N$58</f>
        <v>0</v>
      </c>
      <c r="O14" s="13">
        <f>'TUSD BE'!$O$14*'TUSD BE'!$O$58</f>
        <v>0</v>
      </c>
      <c r="P14" s="13">
        <f>'TUSD BE'!$P$14*'TUSD BE'!$P$58</f>
        <v>0</v>
      </c>
      <c r="Q14" s="13">
        <f>'TUSD BE'!$Q$14*'TUSD BE'!$Q$58</f>
        <v>0</v>
      </c>
      <c r="R14" s="13">
        <f>'TUSD BE'!$R$14*'TUSD BE'!$R$58</f>
        <v>0</v>
      </c>
      <c r="S14" s="13">
        <f>'TUSD BE'!$R$14*'TUSD BE'!$S$58</f>
        <v>0</v>
      </c>
      <c r="T14" s="13">
        <f ca="1">SUM($L$14:$S$14)</f>
        <v>-0.13127229303081092</v>
      </c>
      <c r="U14" s="13">
        <f>'TUSD BE'!$U$14*'TUSD BE'!$U$58</f>
        <v>0</v>
      </c>
      <c r="V14" s="13">
        <f>'TUSD BE'!$V$14*'TUSD BE'!$V$58</f>
        <v>0</v>
      </c>
      <c r="W14" s="13">
        <f>'TUSD BE'!$W$14*'TUSD BE'!$W$58</f>
        <v>0</v>
      </c>
      <c r="X14" s="13">
        <f>'TUSD BE'!$X$14*'TUSD BE'!$X$58</f>
        <v>0</v>
      </c>
      <c r="Y14" s="13">
        <f>'TUSD BE'!$Y$14*'TUSD BE'!$Y$58</f>
        <v>0</v>
      </c>
      <c r="Z14" s="13">
        <f>'TUSD BE'!$Z$14*'TUSD BE'!$Z$58</f>
        <v>0</v>
      </c>
      <c r="AA14" s="13">
        <f>'TUSD BE'!$AA$14*'TUSD BE'!$AA$58</f>
        <v>0</v>
      </c>
      <c r="AB14" s="13">
        <f>SUM($U$14:$AA$14)</f>
        <v>0</v>
      </c>
      <c r="AC14" s="13">
        <f>'TUSD BE'!$AC$14*'TUSD BE'!$AC$58</f>
        <v>0</v>
      </c>
      <c r="AD14" s="13">
        <f>SUM($AC$14:$AC$14)</f>
        <v>0</v>
      </c>
      <c r="AE14" s="13">
        <f ca="1">$AO$14*$AO$55</f>
        <v>0</v>
      </c>
      <c r="AF14" s="13">
        <f ca="1">$AP$14*$AP$55</f>
        <v>0</v>
      </c>
      <c r="AG14" s="13">
        <f ca="1">SUM($AE$14:$AF$14)</f>
        <v>0</v>
      </c>
      <c r="AH14" s="13">
        <f>'TUSD BE'!$AH$14*'TUSD BE'!$AH$58</f>
        <v>-0.23850600321056123</v>
      </c>
      <c r="AI14" s="13">
        <f>'TUSD BE'!$AI$14*'TUSD BE'!$AI$58</f>
        <v>0</v>
      </c>
      <c r="AJ14" s="13">
        <f ca="1">'TUSD BE'!$AJ$14*'TUSD BE'!$AJ$58</f>
        <v>0</v>
      </c>
      <c r="AK14" s="13">
        <f ca="1">'TUSD BE'!$AK$14*'TUSD BE'!$AK$58</f>
        <v>0</v>
      </c>
      <c r="AL14" s="13">
        <f ca="1">SUM($AH$14:$AK$14)</f>
        <v>-0.23850600321056123</v>
      </c>
      <c r="AM14" s="13">
        <f ca="1">SUMIF($L$4:$AL$4,"SUBTOTAL",$L$14:$AL$14)</f>
        <v>-0.36977829624137215</v>
      </c>
      <c r="AO14" s="26">
        <f ca="1">+'TUSD BE'!$T$14+'TUSD BE'!$AB$14+'TUSD BE'!$AD$14+'TUSD BE'!$AL$14</f>
        <v>9.6444188552622769</v>
      </c>
      <c r="AP14" s="26">
        <f ca="1">+'TUSD BE'!$T$14+'TUSD BE'!$AB$14+'TUSD BE'!$AD$14+'TUSD BE'!$AL$14</f>
        <v>9.6444188552622769</v>
      </c>
    </row>
    <row r="15" spans="1:42" ht="11.25" customHeight="1" x14ac:dyDescent="0.25">
      <c r="A15" s="103" t="s">
        <v>71</v>
      </c>
      <c r="B15" s="103" t="s">
        <v>69</v>
      </c>
      <c r="C15" s="103" t="s">
        <v>25</v>
      </c>
      <c r="D15" s="103" t="s">
        <v>25</v>
      </c>
      <c r="E15" s="23" t="s">
        <v>72</v>
      </c>
      <c r="F15" s="23" t="s">
        <v>25</v>
      </c>
      <c r="G15" s="24" t="s">
        <v>9</v>
      </c>
      <c r="H15" s="24" t="s">
        <v>64</v>
      </c>
      <c r="I15" s="24">
        <f>'MERCADO TUSD'!$U$12+0.00000001</f>
        <v>1E-8</v>
      </c>
      <c r="J15" s="15"/>
      <c r="L15" s="13">
        <f>'TUSD BE'!$L$15*'TUSD BE'!$L$58</f>
        <v>0</v>
      </c>
      <c r="M15" s="13">
        <f>'TUSD BE'!$M$15*'TUSD BE'!$M$58</f>
        <v>-3.064718479744263E-4</v>
      </c>
      <c r="N15" s="13">
        <f ca="1">'TUSD BE'!$N$15*'TUSD BE'!$N$58</f>
        <v>0</v>
      </c>
      <c r="O15" s="13">
        <f>'TUSD BE'!$O$15*'TUSD BE'!$O$58</f>
        <v>0</v>
      </c>
      <c r="P15" s="13">
        <f>'TUSD BE'!$P$15*'TUSD BE'!$P$58</f>
        <v>0</v>
      </c>
      <c r="Q15" s="13">
        <f>'TUSD BE'!$Q$15*'TUSD BE'!$Q$58</f>
        <v>0</v>
      </c>
      <c r="R15" s="13">
        <f>'TUSD BE'!$R$15*'TUSD BE'!$R$58</f>
        <v>0</v>
      </c>
      <c r="S15" s="13">
        <f>'TUSD BE'!$R$15*'TUSD BE'!$S$58</f>
        <v>0</v>
      </c>
      <c r="T15" s="13">
        <f ca="1">SUM($L$15:$S$15)</f>
        <v>-3.064718479744263E-4</v>
      </c>
      <c r="U15" s="13">
        <f>'TUSD BE'!$U$15*'TUSD BE'!$U$58</f>
        <v>0</v>
      </c>
      <c r="V15" s="13">
        <f>'TUSD BE'!$V$15*'TUSD BE'!$V$58</f>
        <v>0</v>
      </c>
      <c r="W15" s="13">
        <f>'TUSD BE'!$W$15*'TUSD BE'!$W$58</f>
        <v>0</v>
      </c>
      <c r="X15" s="13">
        <f>'TUSD BE'!$X$15*'TUSD BE'!$X$58</f>
        <v>0</v>
      </c>
      <c r="Y15" s="13">
        <f>'TUSD BE'!$Y$15*'TUSD BE'!$Y$58</f>
        <v>0</v>
      </c>
      <c r="Z15" s="13">
        <f>'TUSD BE'!$Z$15*'TUSD BE'!$Z$58</f>
        <v>0</v>
      </c>
      <c r="AA15" s="13">
        <f>'TUSD BE'!$AA$15*'TUSD BE'!$AA$58</f>
        <v>0</v>
      </c>
      <c r="AB15" s="13">
        <f>SUM($U$15:$AA$15)</f>
        <v>0</v>
      </c>
      <c r="AC15" s="13">
        <f>'TUSD BE'!$AC$15*'TUSD BE'!$AC$58</f>
        <v>-9.9328867257843925</v>
      </c>
      <c r="AD15" s="13">
        <f>SUM($AC$15:$AC$15)</f>
        <v>-9.9328867257843925</v>
      </c>
      <c r="AE15" s="13">
        <f ca="1">$AO$15*$AO$55</f>
        <v>0</v>
      </c>
      <c r="AF15" s="13">
        <f ca="1">$AP$15*$AP$55</f>
        <v>0</v>
      </c>
      <c r="AG15" s="13">
        <f ca="1">SUM($AE$15:$AF$15)</f>
        <v>0</v>
      </c>
      <c r="AH15" s="13">
        <f>'TUSD BE'!$AH$15*'TUSD BE'!$AH$58</f>
        <v>0</v>
      </c>
      <c r="AI15" s="13">
        <f>'TUSD BE'!$AI$15*'TUSD BE'!$AI$58</f>
        <v>0</v>
      </c>
      <c r="AJ15" s="13">
        <f ca="1">'TUSD BE'!$AJ$15*'TUSD BE'!$AJ$58</f>
        <v>0</v>
      </c>
      <c r="AK15" s="13">
        <f ca="1">'TUSD BE'!$AK$15*'TUSD BE'!$AK$58</f>
        <v>0</v>
      </c>
      <c r="AL15" s="13">
        <f ca="1">SUM($AH$15:$AK$15)</f>
        <v>0</v>
      </c>
      <c r="AM15" s="13">
        <f ca="1">SUMIF($L$4:$AL$4,"SUBTOTAL",$L$15:$AL$15)</f>
        <v>-9.9331931976323666</v>
      </c>
      <c r="AO15" s="26">
        <f ca="1">+'TUSD BE'!$T$15+'TUSD BE'!$AB$15+'TUSD BE'!$AD$15+'TUSD BE'!$AL$15</f>
        <v>15.601227189257413</v>
      </c>
      <c r="AP15" s="26">
        <f ca="1">+'TUSD BE'!$T$15+'TUSD BE'!$AB$15+'TUSD BE'!$AD$15+'TUSD BE'!$AL$15</f>
        <v>15.601227189257413</v>
      </c>
    </row>
    <row r="16" spans="1:42" ht="11.25" customHeight="1" x14ac:dyDescent="0.25">
      <c r="A16" s="103"/>
      <c r="B16" s="103"/>
      <c r="C16" s="103"/>
      <c r="D16" s="103"/>
      <c r="E16" s="23" t="s">
        <v>73</v>
      </c>
      <c r="F16" s="23" t="s">
        <v>25</v>
      </c>
      <c r="G16" s="24" t="s">
        <v>9</v>
      </c>
      <c r="H16" s="24" t="s">
        <v>64</v>
      </c>
      <c r="I16" s="24">
        <f>'MERCADO TUSD'!$U$13+0.00000001</f>
        <v>1E-8</v>
      </c>
      <c r="J16" s="15"/>
      <c r="L16" s="13">
        <f>'TUSD BE'!$L$16*'TUSD BE'!$L$58</f>
        <v>0</v>
      </c>
      <c r="M16" s="13">
        <f>'TUSD BE'!$M$16*'TUSD BE'!$M$58</f>
        <v>-3.064718479744263E-4</v>
      </c>
      <c r="N16" s="13">
        <f ca="1">'TUSD BE'!$N$16*'TUSD BE'!$N$58</f>
        <v>0</v>
      </c>
      <c r="O16" s="13">
        <f>'TUSD BE'!$O$16*'TUSD BE'!$O$58</f>
        <v>0</v>
      </c>
      <c r="P16" s="13">
        <f>'TUSD BE'!$P$16*'TUSD BE'!$P$58</f>
        <v>0</v>
      </c>
      <c r="Q16" s="13">
        <f>'TUSD BE'!$Q$16*'TUSD BE'!$Q$58</f>
        <v>0</v>
      </c>
      <c r="R16" s="13">
        <f>'TUSD BE'!$R$16*'TUSD BE'!$R$58</f>
        <v>0</v>
      </c>
      <c r="S16" s="13">
        <f>'TUSD BE'!$R$16*'TUSD BE'!$S$58</f>
        <v>0</v>
      </c>
      <c r="T16" s="13">
        <f ca="1">SUM($L$16:$S$16)</f>
        <v>-3.064718479744263E-4</v>
      </c>
      <c r="U16" s="13">
        <f>'TUSD BE'!$U$16*'TUSD BE'!$U$58</f>
        <v>0</v>
      </c>
      <c r="V16" s="13">
        <f>'TUSD BE'!$V$16*'TUSD BE'!$V$58</f>
        <v>0</v>
      </c>
      <c r="W16" s="13">
        <f>'TUSD BE'!$W$16*'TUSD BE'!$W$58</f>
        <v>0</v>
      </c>
      <c r="X16" s="13">
        <f>'TUSD BE'!$X$16*'TUSD BE'!$X$58</f>
        <v>0</v>
      </c>
      <c r="Y16" s="13">
        <f>'TUSD BE'!$Y$16*'TUSD BE'!$Y$58</f>
        <v>0</v>
      </c>
      <c r="Z16" s="13">
        <f>'TUSD BE'!$Z$16*'TUSD BE'!$Z$58</f>
        <v>0</v>
      </c>
      <c r="AA16" s="13">
        <f>'TUSD BE'!$AA$16*'TUSD BE'!$AA$58</f>
        <v>0</v>
      </c>
      <c r="AB16" s="13">
        <f>SUM($U$16:$AA$16)</f>
        <v>0</v>
      </c>
      <c r="AC16" s="13">
        <f>'TUSD BE'!$AC$16*'TUSD BE'!$AC$58</f>
        <v>-20.208794977890896</v>
      </c>
      <c r="AD16" s="13">
        <f>SUM($AC$16:$AC$16)</f>
        <v>-20.208794977890896</v>
      </c>
      <c r="AE16" s="13">
        <f ca="1">$AO$16*$AO$55</f>
        <v>0</v>
      </c>
      <c r="AF16" s="13">
        <f ca="1">$AP$16*$AP$55</f>
        <v>0</v>
      </c>
      <c r="AG16" s="13">
        <f ca="1">SUM($AE$16:$AF$16)</f>
        <v>0</v>
      </c>
      <c r="AH16" s="13">
        <f>'TUSD BE'!$AH$16*'TUSD BE'!$AH$58</f>
        <v>0</v>
      </c>
      <c r="AI16" s="13">
        <f>'TUSD BE'!$AI$16*'TUSD BE'!$AI$58</f>
        <v>0</v>
      </c>
      <c r="AJ16" s="13">
        <f ca="1">'TUSD BE'!$AJ$16*'TUSD BE'!$AJ$58</f>
        <v>0</v>
      </c>
      <c r="AK16" s="13">
        <f ca="1">'TUSD BE'!$AK$16*'TUSD BE'!$AK$58</f>
        <v>0</v>
      </c>
      <c r="AL16" s="13">
        <f ca="1">SUM($AH$16:$AK$16)</f>
        <v>0</v>
      </c>
      <c r="AM16" s="13">
        <f ca="1">SUMIF($L$4:$AL$4,"SUBTOTAL",$L$16:$AL$16)</f>
        <v>-20.209101449738871</v>
      </c>
      <c r="AO16" s="26">
        <f ca="1">+'TUSD BE'!$T$16+'TUSD BE'!$AB$16+'TUSD BE'!$AD$16+'TUSD BE'!$AL$16</f>
        <v>31.730157729500796</v>
      </c>
      <c r="AP16" s="26">
        <f ca="1">+'TUSD BE'!$T$16+'TUSD BE'!$AB$16+'TUSD BE'!$AD$16+'TUSD BE'!$AL$16</f>
        <v>31.730157729500796</v>
      </c>
    </row>
    <row r="17" spans="1:42" ht="11.25" customHeight="1" x14ac:dyDescent="0.25">
      <c r="A17" s="103" t="s">
        <v>22</v>
      </c>
      <c r="B17" s="103" t="s">
        <v>76</v>
      </c>
      <c r="C17" s="103" t="s">
        <v>24</v>
      </c>
      <c r="D17" s="103" t="s">
        <v>24</v>
      </c>
      <c r="E17" s="103" t="s">
        <v>25</v>
      </c>
      <c r="F17" s="103" t="s">
        <v>25</v>
      </c>
      <c r="G17" s="24" t="s">
        <v>61</v>
      </c>
      <c r="H17" s="24" t="s">
        <v>60</v>
      </c>
      <c r="I17" s="24">
        <f>'MERCADO TUSD'!$U$14</f>
        <v>0</v>
      </c>
      <c r="J17" s="15"/>
      <c r="L17" s="13">
        <f>'TUSD BE'!$L$17*'TUSD BE'!$L$58</f>
        <v>-0.69865599538260181</v>
      </c>
      <c r="M17" s="13">
        <f>'TUSD BE'!$M$17*'TUSD BE'!$M$58</f>
        <v>-6.6009867887828186E-2</v>
      </c>
      <c r="N17" s="13">
        <f ca="1">'TUSD BE'!$N$17*'TUSD BE'!$N$58</f>
        <v>0</v>
      </c>
      <c r="O17" s="13">
        <f>'TUSD BE'!$O$17*'TUSD BE'!$O$58</f>
        <v>0</v>
      </c>
      <c r="P17" s="13">
        <f>'TUSD BE'!$P$17*'TUSD BE'!$P$58</f>
        <v>0</v>
      </c>
      <c r="Q17" s="13">
        <f>'TUSD BE'!$Q$17*'TUSD BE'!$Q$58</f>
        <v>-1.3122289916079237</v>
      </c>
      <c r="R17" s="13">
        <f>'TUSD BE'!$R$17*'TUSD BE'!$R$58</f>
        <v>-0.20295343846302683</v>
      </c>
      <c r="S17" s="13">
        <f>'TUSD BE'!$R$17*'TUSD BE'!$S$58</f>
        <v>0</v>
      </c>
      <c r="T17" s="13">
        <f ca="1">SUM($L$17:$S$17)</f>
        <v>-2.2798482933413804</v>
      </c>
      <c r="U17" s="13">
        <f>'TUSD BE'!$U$17*'TUSD BE'!$U$58</f>
        <v>0</v>
      </c>
      <c r="V17" s="13">
        <f>'TUSD BE'!$V$17*'TUSD BE'!$V$58</f>
        <v>0</v>
      </c>
      <c r="W17" s="13">
        <f>'TUSD BE'!$W$17*'TUSD BE'!$W$58</f>
        <v>0</v>
      </c>
      <c r="X17" s="13">
        <f>'TUSD BE'!$X$17*'TUSD BE'!$X$58</f>
        <v>0</v>
      </c>
      <c r="Y17" s="13">
        <f>'TUSD BE'!$Y$17*'TUSD BE'!$Y$58</f>
        <v>-7.5393067318198552</v>
      </c>
      <c r="Z17" s="13">
        <f>'TUSD BE'!$Z$17*'TUSD BE'!$Z$58</f>
        <v>0</v>
      </c>
      <c r="AA17" s="13">
        <f>'TUSD BE'!$AA$17*'TUSD BE'!$AA$58</f>
        <v>0</v>
      </c>
      <c r="AB17" s="13">
        <f>SUM($U$17:$AA$17)</f>
        <v>-7.5393067318198552</v>
      </c>
      <c r="AC17" s="13">
        <f>'TUSD BE'!$AC$17*'TUSD BE'!$AC$58</f>
        <v>-855.95717804078822</v>
      </c>
      <c r="AD17" s="13">
        <f>SUM($AC$17:$AC$17)</f>
        <v>-855.95717804078822</v>
      </c>
      <c r="AE17" s="13">
        <f ca="1">$AO$17*$AO$55</f>
        <v>0</v>
      </c>
      <c r="AF17" s="13">
        <f ca="1">$AP$17*$AP$55</f>
        <v>0</v>
      </c>
      <c r="AG17" s="13">
        <f ca="1">SUM($AE$17:$AF$17)</f>
        <v>0</v>
      </c>
      <c r="AH17" s="13">
        <f>'TUSD BE'!$AH$17*'TUSD BE'!$AH$58</f>
        <v>-0.61774365023605504</v>
      </c>
      <c r="AI17" s="13">
        <f>'TUSD BE'!$AI$17*'TUSD BE'!$AI$58</f>
        <v>0</v>
      </c>
      <c r="AJ17" s="13">
        <f ca="1">'TUSD BE'!$AJ$17*'TUSD BE'!$AJ$58</f>
        <v>0</v>
      </c>
      <c r="AK17" s="13">
        <f ca="1">'TUSD BE'!$AK$17*'TUSD BE'!$AK$58</f>
        <v>0</v>
      </c>
      <c r="AL17" s="13">
        <f ca="1">SUM($AH$17:$AK$17)</f>
        <v>-0.61774365023605504</v>
      </c>
      <c r="AM17" s="13">
        <f ca="1">SUMIF($L$4:$AL$4,"SUBTOTAL",$L$17:$AL$17)</f>
        <v>-866.39407671618551</v>
      </c>
      <c r="AO17" s="26">
        <f ca="1">+'TUSD BE'!$T$17+'TUSD BE'!$AB$17+'TUSD BE'!$AD$17+'TUSD BE'!$AL$17</f>
        <v>1926.2583065669212</v>
      </c>
      <c r="AP17" s="26">
        <f ca="1">+'TUSD BE'!$T$17+'TUSD BE'!$AB$17+'TUSD BE'!$AD$17+'TUSD BE'!$AL$17</f>
        <v>1926.2583065669212</v>
      </c>
    </row>
    <row r="18" spans="1:42" ht="11.25" customHeight="1" x14ac:dyDescent="0.25">
      <c r="A18" s="103"/>
      <c r="B18" s="103"/>
      <c r="C18" s="103"/>
      <c r="D18" s="103"/>
      <c r="E18" s="103"/>
      <c r="F18" s="103"/>
      <c r="G18" s="24" t="s">
        <v>74</v>
      </c>
      <c r="H18" s="24" t="s">
        <v>60</v>
      </c>
      <c r="I18" s="24">
        <f>'MERCADO TUSD'!$U$15</f>
        <v>0</v>
      </c>
      <c r="J18" s="15"/>
      <c r="L18" s="13">
        <f>'TUSD BE'!$L$18*'TUSD BE'!$L$58</f>
        <v>-0.69865599538260181</v>
      </c>
      <c r="M18" s="13">
        <f>'TUSD BE'!$M$18*'TUSD BE'!$M$58</f>
        <v>-6.6009867887828186E-2</v>
      </c>
      <c r="N18" s="13">
        <f ca="1">'TUSD BE'!$N$18*'TUSD BE'!$N$58</f>
        <v>0</v>
      </c>
      <c r="O18" s="13">
        <f>'TUSD BE'!$O$18*'TUSD BE'!$O$58</f>
        <v>0</v>
      </c>
      <c r="P18" s="13">
        <f>'TUSD BE'!$P$18*'TUSD BE'!$P$58</f>
        <v>0</v>
      </c>
      <c r="Q18" s="13">
        <f>'TUSD BE'!$Q$18*'TUSD BE'!$Q$58</f>
        <v>-1.3122289916079237</v>
      </c>
      <c r="R18" s="13">
        <f>'TUSD BE'!$R$18*'TUSD BE'!$R$58</f>
        <v>-0.20295343846302683</v>
      </c>
      <c r="S18" s="13">
        <f>'TUSD BE'!$R$18*'TUSD BE'!$S$58</f>
        <v>0</v>
      </c>
      <c r="T18" s="13">
        <f ca="1">SUM($L$18:$S$18)</f>
        <v>-2.2798482933413804</v>
      </c>
      <c r="U18" s="13">
        <f>'TUSD BE'!$U$18*'TUSD BE'!$U$58</f>
        <v>0</v>
      </c>
      <c r="V18" s="13">
        <f>'TUSD BE'!$V$18*'TUSD BE'!$V$58</f>
        <v>0</v>
      </c>
      <c r="W18" s="13">
        <f>'TUSD BE'!$W$18*'TUSD BE'!$W$58</f>
        <v>0</v>
      </c>
      <c r="X18" s="13">
        <f>'TUSD BE'!$X$18*'TUSD BE'!$X$58</f>
        <v>0</v>
      </c>
      <c r="Y18" s="13">
        <f>'TUSD BE'!$Y$18*'TUSD BE'!$Y$58</f>
        <v>-4.5235836318619596</v>
      </c>
      <c r="Z18" s="13">
        <f>'TUSD BE'!$Z$18*'TUSD BE'!$Z$58</f>
        <v>0</v>
      </c>
      <c r="AA18" s="13">
        <f>'TUSD BE'!$AA$18*'TUSD BE'!$AA$58</f>
        <v>0</v>
      </c>
      <c r="AB18" s="13">
        <f>SUM($U$18:$AA$18)</f>
        <v>-4.5235836318619596</v>
      </c>
      <c r="AC18" s="13">
        <f>'TUSD BE'!$AC$18*'TUSD BE'!$AC$58</f>
        <v>-513.57456312947397</v>
      </c>
      <c r="AD18" s="13">
        <f>SUM($AC$18:$AC$18)</f>
        <v>-513.57456312947397</v>
      </c>
      <c r="AE18" s="13">
        <f ca="1">$AO$18*$AO$55</f>
        <v>0</v>
      </c>
      <c r="AF18" s="13">
        <f ca="1">$AP$18*$AP$55</f>
        <v>0</v>
      </c>
      <c r="AG18" s="13">
        <f ca="1">SUM($AE$18:$AF$18)</f>
        <v>0</v>
      </c>
      <c r="AH18" s="13">
        <f>'TUSD BE'!$AH$18*'TUSD BE'!$AH$58</f>
        <v>-0.61774365023605504</v>
      </c>
      <c r="AI18" s="13">
        <f>'TUSD BE'!$AI$18*'TUSD BE'!$AI$58</f>
        <v>0</v>
      </c>
      <c r="AJ18" s="13">
        <f ca="1">'TUSD BE'!$AJ$18*'TUSD BE'!$AJ$58</f>
        <v>0</v>
      </c>
      <c r="AK18" s="13">
        <f ca="1">'TUSD BE'!$AK$18*'TUSD BE'!$AK$58</f>
        <v>0</v>
      </c>
      <c r="AL18" s="13">
        <f ca="1">SUM($AH$18:$AK$18)</f>
        <v>-0.61774365023605504</v>
      </c>
      <c r="AM18" s="13">
        <f ca="1">SUMIF($L$4:$AL$4,"SUBTOTAL",$L$18:$AL$18)</f>
        <v>-520.99573870491338</v>
      </c>
      <c r="AO18" s="26">
        <f ca="1">+'TUSD BE'!$T$18+'TUSD BE'!$AB$18+'TUSD BE'!$AD$18+'TUSD BE'!$AL$18</f>
        <v>1216.3912479105059</v>
      </c>
      <c r="AP18" s="26">
        <f ca="1">+'TUSD BE'!$T$18+'TUSD BE'!$AB$18+'TUSD BE'!$AD$18+'TUSD BE'!$AL$18</f>
        <v>1216.3912479105059</v>
      </c>
    </row>
    <row r="19" spans="1:42" ht="11.25" customHeight="1" x14ac:dyDescent="0.25">
      <c r="A19" s="103"/>
      <c r="B19" s="103"/>
      <c r="C19" s="103"/>
      <c r="D19" s="103"/>
      <c r="E19" s="103"/>
      <c r="F19" s="103"/>
      <c r="G19" s="24" t="s">
        <v>62</v>
      </c>
      <c r="H19" s="24" t="s">
        <v>60</v>
      </c>
      <c r="I19" s="24">
        <f>'MERCADO TUSD'!$U$16</f>
        <v>0</v>
      </c>
      <c r="J19" s="15"/>
      <c r="L19" s="13">
        <f>'TUSD BE'!$L$19*'TUSD BE'!$L$58</f>
        <v>-0.69865599538260181</v>
      </c>
      <c r="M19" s="13">
        <f>'TUSD BE'!$M$19*'TUSD BE'!$M$58</f>
        <v>-6.6009867887828186E-2</v>
      </c>
      <c r="N19" s="13">
        <f ca="1">'TUSD BE'!$N$19*'TUSD BE'!$N$58</f>
        <v>0</v>
      </c>
      <c r="O19" s="13">
        <f>'TUSD BE'!$O$19*'TUSD BE'!$O$58</f>
        <v>0</v>
      </c>
      <c r="P19" s="13">
        <f>'TUSD BE'!$P$19*'TUSD BE'!$P$58</f>
        <v>0</v>
      </c>
      <c r="Q19" s="13">
        <f>'TUSD BE'!$Q$19*'TUSD BE'!$Q$58</f>
        <v>-1.3122289916079237</v>
      </c>
      <c r="R19" s="13">
        <f>'TUSD BE'!$R$19*'TUSD BE'!$R$58</f>
        <v>-0.20295343846302683</v>
      </c>
      <c r="S19" s="13">
        <f>'TUSD BE'!$R$19*'TUSD BE'!$S$58</f>
        <v>0</v>
      </c>
      <c r="T19" s="13">
        <f ca="1">SUM($L$19:$S$19)</f>
        <v>-2.2798482933413804</v>
      </c>
      <c r="U19" s="13">
        <f>'TUSD BE'!$U$19*'TUSD BE'!$U$58</f>
        <v>0</v>
      </c>
      <c r="V19" s="13">
        <f>'TUSD BE'!$V$19*'TUSD BE'!$V$58</f>
        <v>0</v>
      </c>
      <c r="W19" s="13">
        <f>'TUSD BE'!$W$19*'TUSD BE'!$W$58</f>
        <v>0</v>
      </c>
      <c r="X19" s="13">
        <f>'TUSD BE'!$X$19*'TUSD BE'!$X$58</f>
        <v>0</v>
      </c>
      <c r="Y19" s="13">
        <f>'TUSD BE'!$Y$19*'TUSD BE'!$Y$58</f>
        <v>-1.5092390052987914</v>
      </c>
      <c r="Z19" s="13">
        <f>'TUSD BE'!$Z$19*'TUSD BE'!$Z$58</f>
        <v>0</v>
      </c>
      <c r="AA19" s="13">
        <f>'TUSD BE'!$AA$19*'TUSD BE'!$AA$58</f>
        <v>0</v>
      </c>
      <c r="AB19" s="13">
        <f>SUM($U$19:$AA$19)</f>
        <v>-1.5092390052987914</v>
      </c>
      <c r="AC19" s="13">
        <f>'TUSD BE'!$AC$19*'TUSD BE'!$AC$58</f>
        <v>-171.19130745565715</v>
      </c>
      <c r="AD19" s="13">
        <f>SUM($AC$19:$AC$19)</f>
        <v>-171.19130745565715</v>
      </c>
      <c r="AE19" s="13">
        <f ca="1">$AO$19*$AO$55</f>
        <v>0</v>
      </c>
      <c r="AF19" s="13">
        <f ca="1">$AP$19*$AP$55</f>
        <v>0</v>
      </c>
      <c r="AG19" s="13">
        <f ca="1">SUM($AE$19:$AF$19)</f>
        <v>0</v>
      </c>
      <c r="AH19" s="13">
        <f>'TUSD BE'!$AH$19*'TUSD BE'!$AH$58</f>
        <v>-0.61774365023605504</v>
      </c>
      <c r="AI19" s="13">
        <f>'TUSD BE'!$AI$19*'TUSD BE'!$AI$58</f>
        <v>0</v>
      </c>
      <c r="AJ19" s="13">
        <f ca="1">'TUSD BE'!$AJ$19*'TUSD BE'!$AJ$58</f>
        <v>0</v>
      </c>
      <c r="AK19" s="13">
        <f ca="1">'TUSD BE'!$AK$19*'TUSD BE'!$AK$58</f>
        <v>0</v>
      </c>
      <c r="AL19" s="13">
        <f ca="1">SUM($AH$19:$AK$19)</f>
        <v>-0.61774365023605504</v>
      </c>
      <c r="AM19" s="13">
        <f ca="1">SUMIF($L$4:$AL$4,"SUBTOTAL",$L$19:$AL$19)</f>
        <v>-175.59813840453339</v>
      </c>
      <c r="AO19" s="26">
        <f ca="1">+'TUSD BE'!$T$19+'TUSD BE'!$AB$19+'TUSD BE'!$AD$19+'TUSD BE'!$AL$19</f>
        <v>506.60201777611593</v>
      </c>
      <c r="AP19" s="26">
        <f ca="1">+'TUSD BE'!$T$19+'TUSD BE'!$AB$19+'TUSD BE'!$AD$19+'TUSD BE'!$AL$19</f>
        <v>506.60201777611593</v>
      </c>
    </row>
    <row r="20" spans="1:42" ht="11.25" customHeight="1" x14ac:dyDescent="0.25">
      <c r="A20" s="103"/>
      <c r="B20" s="103" t="s">
        <v>23</v>
      </c>
      <c r="C20" s="103" t="s">
        <v>24</v>
      </c>
      <c r="D20" s="23" t="s">
        <v>24</v>
      </c>
      <c r="E20" s="23" t="s">
        <v>25</v>
      </c>
      <c r="F20" s="23" t="s">
        <v>25</v>
      </c>
      <c r="G20" s="24" t="s">
        <v>67</v>
      </c>
      <c r="H20" s="24" t="s">
        <v>60</v>
      </c>
      <c r="I20" s="24">
        <f>'MERCADO TUSD'!$U$17</f>
        <v>3454.3520000000003</v>
      </c>
      <c r="J20" s="15"/>
      <c r="L20" s="13">
        <f>'TUSD BE'!$L$20*'TUSD BE'!$L$58</f>
        <v>-0.69865599538260181</v>
      </c>
      <c r="M20" s="13">
        <f>'TUSD BE'!$M$20*'TUSD BE'!$M$58</f>
        <v>-6.6009867887828186E-2</v>
      </c>
      <c r="N20" s="13">
        <f ca="1">'TUSD BE'!$N$20*'TUSD BE'!$N$58</f>
        <v>0</v>
      </c>
      <c r="O20" s="13">
        <f>'TUSD BE'!$O$20*'TUSD BE'!$O$58</f>
        <v>0</v>
      </c>
      <c r="P20" s="13">
        <f>'TUSD BE'!$P$20*'TUSD BE'!$P$58</f>
        <v>0</v>
      </c>
      <c r="Q20" s="13">
        <f>'TUSD BE'!$Q$20*'TUSD BE'!$Q$58</f>
        <v>-1.3122289916079237</v>
      </c>
      <c r="R20" s="13">
        <f>'TUSD BE'!$R$20*'TUSD BE'!$R$58</f>
        <v>-0.20295343846302683</v>
      </c>
      <c r="S20" s="13">
        <f>'TUSD BE'!$R$20*'TUSD BE'!$S$58</f>
        <v>0</v>
      </c>
      <c r="T20" s="13">
        <f ca="1">SUM($L$20:$S$20)</f>
        <v>-2.2798482933413804</v>
      </c>
      <c r="U20" s="13">
        <f>'TUSD BE'!$U$20*'TUSD BE'!$U$58</f>
        <v>0</v>
      </c>
      <c r="V20" s="13">
        <f>'TUSD BE'!$V$20*'TUSD BE'!$V$58</f>
        <v>0</v>
      </c>
      <c r="W20" s="13">
        <f>'TUSD BE'!$W$20*'TUSD BE'!$W$58</f>
        <v>0</v>
      </c>
      <c r="X20" s="13">
        <f>'TUSD BE'!$X$20*'TUSD BE'!$X$58</f>
        <v>0</v>
      </c>
      <c r="Y20" s="13">
        <f>'TUSD BE'!$Y$20*'TUSD BE'!$Y$58</f>
        <v>-2.7910604427139765</v>
      </c>
      <c r="Z20" s="13">
        <f>'TUSD BE'!$Z$20*'TUSD BE'!$Z$58</f>
        <v>0</v>
      </c>
      <c r="AA20" s="13">
        <f>'TUSD BE'!$AA$20*'TUSD BE'!$AA$58</f>
        <v>0</v>
      </c>
      <c r="AB20" s="13">
        <f>SUM($U$20:$AA$20)</f>
        <v>-2.7910604427139765</v>
      </c>
      <c r="AC20" s="13">
        <f>'TUSD BE'!$AC$20*'TUSD BE'!$AC$58</f>
        <v>-317.02123506356378</v>
      </c>
      <c r="AD20" s="13">
        <f>SUM($AC$20:$AC$20)</f>
        <v>-317.02123506356378</v>
      </c>
      <c r="AE20" s="13">
        <f ca="1">$AO$20*$AO$55</f>
        <v>0</v>
      </c>
      <c r="AF20" s="13">
        <f ca="1">$AP$20*$AP$55</f>
        <v>0</v>
      </c>
      <c r="AG20" s="13">
        <f ca="1">SUM($AE$20:$AF$20)</f>
        <v>0</v>
      </c>
      <c r="AH20" s="13">
        <f>'TUSD BE'!$AH$20*'TUSD BE'!$AH$58</f>
        <v>-0.61774365023605504</v>
      </c>
      <c r="AI20" s="13">
        <f>'TUSD BE'!$AI$20*'TUSD BE'!$AI$58</f>
        <v>0</v>
      </c>
      <c r="AJ20" s="13">
        <f ca="1">'TUSD BE'!$AJ$20*'TUSD BE'!$AJ$58</f>
        <v>0</v>
      </c>
      <c r="AK20" s="13">
        <f ca="1">'TUSD BE'!$AK$20*'TUSD BE'!$AK$58</f>
        <v>0</v>
      </c>
      <c r="AL20" s="13">
        <f ca="1">SUM($AH$20:$AK$20)</f>
        <v>-0.61774365023605504</v>
      </c>
      <c r="AM20" s="13">
        <f ca="1">SUMIF($L$4:$AL$4,"SUBTOTAL",$L$20:$AL$20)</f>
        <v>-322.70988744985516</v>
      </c>
      <c r="AO20" s="26">
        <f ca="1">+'TUSD BE'!$T$20+'TUSD BE'!$AB$20+'TUSD BE'!$AD$20+'TUSD BE'!$AL$20</f>
        <v>808.80152935754006</v>
      </c>
      <c r="AP20" s="26">
        <f ca="1">+'TUSD BE'!$T$20+'TUSD BE'!$AB$20+'TUSD BE'!$AD$20+'TUSD BE'!$AL$20</f>
        <v>808.80152935754006</v>
      </c>
    </row>
    <row r="21" spans="1:42" ht="11.25" customHeight="1" x14ac:dyDescent="0.25">
      <c r="A21" s="103"/>
      <c r="B21" s="103"/>
      <c r="C21" s="103"/>
      <c r="D21" s="23" t="s">
        <v>41</v>
      </c>
      <c r="E21" s="23" t="s">
        <v>25</v>
      </c>
      <c r="F21" s="23" t="s">
        <v>25</v>
      </c>
      <c r="G21" s="24" t="s">
        <v>67</v>
      </c>
      <c r="H21" s="24" t="s">
        <v>60</v>
      </c>
      <c r="I21" s="24">
        <f>'MERCADO TUSD'!$U$18</f>
        <v>0.48000000000000009</v>
      </c>
      <c r="J21" s="15"/>
      <c r="L21" s="13">
        <f>'TUSD BE'!$L$21*'TUSD BE'!$L$58</f>
        <v>0</v>
      </c>
      <c r="M21" s="13">
        <f>'TUSD BE'!$M$21*'TUSD BE'!$M$58</f>
        <v>-6.6009867887828186E-2</v>
      </c>
      <c r="N21" s="13">
        <f ca="1">'TUSD BE'!$N$21*'TUSD BE'!$N$58</f>
        <v>0</v>
      </c>
      <c r="O21" s="13">
        <f>'TUSD BE'!$O$21*'TUSD BE'!$O$58</f>
        <v>0</v>
      </c>
      <c r="P21" s="13">
        <f>'TUSD BE'!$P$21*'TUSD BE'!$P$58</f>
        <v>0</v>
      </c>
      <c r="Q21" s="13">
        <f>'TUSD BE'!$Q$21*'TUSD BE'!$Q$58</f>
        <v>0</v>
      </c>
      <c r="R21" s="13">
        <f>'TUSD BE'!$R$21*'TUSD BE'!$R$58</f>
        <v>0</v>
      </c>
      <c r="S21" s="13">
        <f>'TUSD BE'!$R$21*'TUSD BE'!$S$58</f>
        <v>0</v>
      </c>
      <c r="T21" s="13">
        <f ca="1">SUM($L$21:$S$21)</f>
        <v>-6.6009867887828186E-2</v>
      </c>
      <c r="U21" s="13">
        <f>'TUSD BE'!$U$21*'TUSD BE'!$U$58</f>
        <v>0</v>
      </c>
      <c r="V21" s="13">
        <f>'TUSD BE'!$V$21*'TUSD BE'!$V$58</f>
        <v>0</v>
      </c>
      <c r="W21" s="13">
        <f>'TUSD BE'!$W$21*'TUSD BE'!$W$58</f>
        <v>0</v>
      </c>
      <c r="X21" s="13">
        <f>'TUSD BE'!$X$21*'TUSD BE'!$X$58</f>
        <v>0</v>
      </c>
      <c r="Y21" s="13">
        <f>'TUSD BE'!$Y$21*'TUSD BE'!$Y$58</f>
        <v>-2.7910604427139765</v>
      </c>
      <c r="Z21" s="13">
        <f>'TUSD BE'!$Z$21*'TUSD BE'!$Z$58</f>
        <v>0</v>
      </c>
      <c r="AA21" s="13">
        <f>'TUSD BE'!$AA$21*'TUSD BE'!$AA$58</f>
        <v>0</v>
      </c>
      <c r="AB21" s="13">
        <f>SUM($U$21:$AA$21)</f>
        <v>-2.7910604427139765</v>
      </c>
      <c r="AC21" s="13">
        <f>'TUSD BE'!$AC$21*'TUSD BE'!$AC$58</f>
        <v>-317.02123506356378</v>
      </c>
      <c r="AD21" s="13">
        <f>SUM($AC$21:$AC$21)</f>
        <v>-317.02123506356378</v>
      </c>
      <c r="AE21" s="13">
        <f ca="1">$AO$21*$AO$55</f>
        <v>0</v>
      </c>
      <c r="AF21" s="13">
        <f ca="1">$AP$21*$AP$55</f>
        <v>0</v>
      </c>
      <c r="AG21" s="13">
        <f ca="1">SUM($AE$21:$AF$21)</f>
        <v>0</v>
      </c>
      <c r="AH21" s="13">
        <f>'TUSD BE'!$AH$21*'TUSD BE'!$AH$58</f>
        <v>-0.61774365023605504</v>
      </c>
      <c r="AI21" s="13">
        <f>'TUSD BE'!$AI$21*'TUSD BE'!$AI$58</f>
        <v>0</v>
      </c>
      <c r="AJ21" s="13">
        <f ca="1">'TUSD BE'!$AJ$21*'TUSD BE'!$AJ$58</f>
        <v>0</v>
      </c>
      <c r="AK21" s="13">
        <f ca="1">'TUSD BE'!$AK$21*'TUSD BE'!$AK$58</f>
        <v>0</v>
      </c>
      <c r="AL21" s="13">
        <f ca="1">SUM($AH$21:$AK$21)</f>
        <v>-0.61774365023605504</v>
      </c>
      <c r="AM21" s="13">
        <f ca="1">SUMIF($L$4:$AL$4,"SUBTOTAL",$L$21:$AL$21)</f>
        <v>-320.4960490244016</v>
      </c>
      <c r="AO21" s="26">
        <f ca="1">+'TUSD BE'!$T$21+'TUSD BE'!$AB$21+'TUSD BE'!$AD$21+'TUSD BE'!$AL$21</f>
        <v>672.62649262440902</v>
      </c>
      <c r="AP21" s="26">
        <f ca="1">+'TUSD BE'!$T$21+'TUSD BE'!$AB$21+'TUSD BE'!$AD$21+'TUSD BE'!$AL$21</f>
        <v>672.62649262440902</v>
      </c>
    </row>
    <row r="22" spans="1:42" ht="11.25" customHeight="1" x14ac:dyDescent="0.25">
      <c r="A22" s="103"/>
      <c r="B22" s="103"/>
      <c r="C22" s="103"/>
      <c r="D22" s="23" t="s">
        <v>42</v>
      </c>
      <c r="E22" s="23" t="s">
        <v>25</v>
      </c>
      <c r="F22" s="23" t="s">
        <v>25</v>
      </c>
      <c r="G22" s="24" t="s">
        <v>67</v>
      </c>
      <c r="H22" s="24" t="s">
        <v>60</v>
      </c>
      <c r="I22" s="24">
        <f>'MERCADO TUSD'!$U$19</f>
        <v>7.3130000000000006</v>
      </c>
      <c r="J22" s="15"/>
      <c r="L22" s="13">
        <f>'TUSD BE'!$L$22*'TUSD BE'!$L$58</f>
        <v>0</v>
      </c>
      <c r="M22" s="13">
        <f>'TUSD BE'!$M$22*'TUSD BE'!$M$58</f>
        <v>-6.6009867887828186E-2</v>
      </c>
      <c r="N22" s="13">
        <f ca="1">'TUSD BE'!$N$22*'TUSD BE'!$N$58</f>
        <v>0</v>
      </c>
      <c r="O22" s="13">
        <f>'TUSD BE'!$O$22*'TUSD BE'!$O$58</f>
        <v>0</v>
      </c>
      <c r="P22" s="13">
        <f>'TUSD BE'!$P$22*'TUSD BE'!$P$58</f>
        <v>0</v>
      </c>
      <c r="Q22" s="13">
        <f>'TUSD BE'!$Q$22*'TUSD BE'!$Q$58</f>
        <v>0</v>
      </c>
      <c r="R22" s="13">
        <f>'TUSD BE'!$R$22*'TUSD BE'!$R$58</f>
        <v>0</v>
      </c>
      <c r="S22" s="13">
        <f>'TUSD BE'!$R$22*'TUSD BE'!$S$58</f>
        <v>0</v>
      </c>
      <c r="T22" s="13">
        <f ca="1">SUM($L$22:$S$22)</f>
        <v>-6.6009867887828186E-2</v>
      </c>
      <c r="U22" s="13">
        <f>'TUSD BE'!$U$22*'TUSD BE'!$U$58</f>
        <v>0</v>
      </c>
      <c r="V22" s="13">
        <f>'TUSD BE'!$V$22*'TUSD BE'!$V$58</f>
        <v>0</v>
      </c>
      <c r="W22" s="13">
        <f>'TUSD BE'!$W$22*'TUSD BE'!$W$58</f>
        <v>0</v>
      </c>
      <c r="X22" s="13">
        <f>'TUSD BE'!$X$22*'TUSD BE'!$X$58</f>
        <v>0</v>
      </c>
      <c r="Y22" s="13">
        <f>'TUSD BE'!$Y$22*'TUSD BE'!$Y$58</f>
        <v>-2.7910604427139765</v>
      </c>
      <c r="Z22" s="13">
        <f>'TUSD BE'!$Z$22*'TUSD BE'!$Z$58</f>
        <v>0</v>
      </c>
      <c r="AA22" s="13">
        <f>'TUSD BE'!$AA$22*'TUSD BE'!$AA$58</f>
        <v>0</v>
      </c>
      <c r="AB22" s="13">
        <f>SUM($U$22:$AA$22)</f>
        <v>-2.7910604427139765</v>
      </c>
      <c r="AC22" s="13">
        <f>'TUSD BE'!$AC$22*'TUSD BE'!$AC$58</f>
        <v>-317.02123506356378</v>
      </c>
      <c r="AD22" s="13">
        <f>SUM($AC$22:$AC$22)</f>
        <v>-317.02123506356378</v>
      </c>
      <c r="AE22" s="13">
        <f ca="1">$AO$22*$AO$55</f>
        <v>0</v>
      </c>
      <c r="AF22" s="13">
        <f ca="1">$AP$22*$AP$55</f>
        <v>0</v>
      </c>
      <c r="AG22" s="13">
        <f ca="1">SUM($AE$22:$AF$22)</f>
        <v>0</v>
      </c>
      <c r="AH22" s="13">
        <f>'TUSD BE'!$AH$22*'TUSD BE'!$AH$58</f>
        <v>-0.61774365023605504</v>
      </c>
      <c r="AI22" s="13">
        <f>'TUSD BE'!$AI$22*'TUSD BE'!$AI$58</f>
        <v>0</v>
      </c>
      <c r="AJ22" s="13">
        <f ca="1">'TUSD BE'!$AJ$22*'TUSD BE'!$AJ$58</f>
        <v>0</v>
      </c>
      <c r="AK22" s="13">
        <f ca="1">'TUSD BE'!$AK$22*'TUSD BE'!$AK$58</f>
        <v>0</v>
      </c>
      <c r="AL22" s="13">
        <f ca="1">SUM($AH$22:$AK$22)</f>
        <v>-0.61774365023605504</v>
      </c>
      <c r="AM22" s="13">
        <f ca="1">SUMIF($L$4:$AL$4,"SUBTOTAL",$L$22:$AL$22)</f>
        <v>-320.4960490244016</v>
      </c>
      <c r="AO22" s="26">
        <f ca="1">+'TUSD BE'!$T$22+'TUSD BE'!$AB$22+'TUSD BE'!$AD$22+'TUSD BE'!$AL$22</f>
        <v>672.62649262440902</v>
      </c>
      <c r="AP22" s="26">
        <f ca="1">+'TUSD BE'!$T$22+'TUSD BE'!$AB$22+'TUSD BE'!$AD$22+'TUSD BE'!$AL$22</f>
        <v>672.62649262440902</v>
      </c>
    </row>
    <row r="23" spans="1:42" ht="11.25" customHeight="1" x14ac:dyDescent="0.25">
      <c r="A23" s="103"/>
      <c r="B23" s="103"/>
      <c r="C23" s="103"/>
      <c r="D23" s="23" t="s">
        <v>39</v>
      </c>
      <c r="E23" s="23" t="s">
        <v>25</v>
      </c>
      <c r="F23" s="23" t="s">
        <v>25</v>
      </c>
      <c r="G23" s="24" t="s">
        <v>67</v>
      </c>
      <c r="H23" s="24" t="s">
        <v>60</v>
      </c>
      <c r="I23" s="24">
        <f>'MERCADO TUSD'!$U$20</f>
        <v>77.287999999999997</v>
      </c>
      <c r="J23" s="15"/>
      <c r="L23" s="13">
        <f>'TUSD BE'!$L$23*'TUSD BE'!$L$58</f>
        <v>0</v>
      </c>
      <c r="M23" s="13">
        <f>'TUSD BE'!$M$23*'TUSD BE'!$M$58</f>
        <v>-6.6009867887828186E-2</v>
      </c>
      <c r="N23" s="13">
        <f ca="1">'TUSD BE'!$N$23*'TUSD BE'!$N$58</f>
        <v>0</v>
      </c>
      <c r="O23" s="13">
        <f>'TUSD BE'!$O$23*'TUSD BE'!$O$58</f>
        <v>0</v>
      </c>
      <c r="P23" s="13">
        <f>'TUSD BE'!$P$23*'TUSD BE'!$P$58</f>
        <v>0</v>
      </c>
      <c r="Q23" s="13">
        <f>'TUSD BE'!$Q$23*'TUSD BE'!$Q$58</f>
        <v>0</v>
      </c>
      <c r="R23" s="13">
        <f>'TUSD BE'!$R$23*'TUSD BE'!$R$58</f>
        <v>0</v>
      </c>
      <c r="S23" s="13">
        <f>'TUSD BE'!$R$23*'TUSD BE'!$S$58</f>
        <v>0</v>
      </c>
      <c r="T23" s="13">
        <f ca="1">SUM($L$23:$S$23)</f>
        <v>-6.6009867887828186E-2</v>
      </c>
      <c r="U23" s="13">
        <f>'TUSD BE'!$U$23*'TUSD BE'!$U$58</f>
        <v>0</v>
      </c>
      <c r="V23" s="13">
        <f>'TUSD BE'!$V$23*'TUSD BE'!$V$58</f>
        <v>0</v>
      </c>
      <c r="W23" s="13">
        <f>'TUSD BE'!$W$23*'TUSD BE'!$W$58</f>
        <v>0</v>
      </c>
      <c r="X23" s="13">
        <f>'TUSD BE'!$X$23*'TUSD BE'!$X$58</f>
        <v>0</v>
      </c>
      <c r="Y23" s="13">
        <f>'TUSD BE'!$Y$23*'TUSD BE'!$Y$58</f>
        <v>-2.7910604427139765</v>
      </c>
      <c r="Z23" s="13">
        <f>'TUSD BE'!$Z$23*'TUSD BE'!$Z$58</f>
        <v>0</v>
      </c>
      <c r="AA23" s="13">
        <f>'TUSD BE'!$AA$23*'TUSD BE'!$AA$58</f>
        <v>0</v>
      </c>
      <c r="AB23" s="13">
        <f>SUM($U$23:$AA$23)</f>
        <v>-2.7910604427139765</v>
      </c>
      <c r="AC23" s="13">
        <f>'TUSD BE'!$AC$23*'TUSD BE'!$AC$58</f>
        <v>-317.02123506356378</v>
      </c>
      <c r="AD23" s="13">
        <f>SUM($AC$23:$AC$23)</f>
        <v>-317.02123506356378</v>
      </c>
      <c r="AE23" s="13">
        <f ca="1">$AO$23*$AO$55</f>
        <v>0</v>
      </c>
      <c r="AF23" s="13">
        <f ca="1">$AP$23*$AP$55</f>
        <v>0</v>
      </c>
      <c r="AG23" s="13">
        <f ca="1">SUM($AE$23:$AF$23)</f>
        <v>0</v>
      </c>
      <c r="AH23" s="13">
        <f>'TUSD BE'!$AH$23*'TUSD BE'!$AH$58</f>
        <v>-0.61774365023605504</v>
      </c>
      <c r="AI23" s="13">
        <f>'TUSD BE'!$AI$23*'TUSD BE'!$AI$58</f>
        <v>0</v>
      </c>
      <c r="AJ23" s="13">
        <f ca="1">'TUSD BE'!$AJ$23*'TUSD BE'!$AJ$58</f>
        <v>0</v>
      </c>
      <c r="AK23" s="13">
        <f ca="1">'TUSD BE'!$AK$23*'TUSD BE'!$AK$58</f>
        <v>0</v>
      </c>
      <c r="AL23" s="13">
        <f ca="1">SUM($AH$23:$AK$23)</f>
        <v>-0.61774365023605504</v>
      </c>
      <c r="AM23" s="13">
        <f ca="1">SUMIF($L$4:$AL$4,"SUBTOTAL",$L$23:$AL$23)</f>
        <v>-320.4960490244016</v>
      </c>
      <c r="AO23" s="26">
        <f ca="1">+'TUSD BE'!$T$23+'TUSD BE'!$AB$23+'TUSD BE'!$AD$23+'TUSD BE'!$AL$23</f>
        <v>672.62649262440902</v>
      </c>
      <c r="AP23" s="26">
        <f ca="1">+'TUSD BE'!$T$23+'TUSD BE'!$AB$23+'TUSD BE'!$AD$23+'TUSD BE'!$AL$23</f>
        <v>672.62649262440902</v>
      </c>
    </row>
    <row r="24" spans="1:42" ht="11.25" customHeight="1" x14ac:dyDescent="0.25">
      <c r="A24" s="103"/>
      <c r="B24" s="103"/>
      <c r="C24" s="103"/>
      <c r="D24" s="23" t="s">
        <v>40</v>
      </c>
      <c r="E24" s="23" t="s">
        <v>25</v>
      </c>
      <c r="F24" s="23" t="s">
        <v>25</v>
      </c>
      <c r="G24" s="24" t="s">
        <v>67</v>
      </c>
      <c r="H24" s="24" t="s">
        <v>60</v>
      </c>
      <c r="I24" s="24">
        <f>'MERCADO TUSD'!$U$21</f>
        <v>81.510999999999996</v>
      </c>
      <c r="J24" s="15"/>
      <c r="L24" s="13">
        <f>'TUSD BE'!$L$24*'TUSD BE'!$L$58</f>
        <v>0</v>
      </c>
      <c r="M24" s="13">
        <f>'TUSD BE'!$M$24*'TUSD BE'!$M$58</f>
        <v>-6.6009867887828186E-2</v>
      </c>
      <c r="N24" s="13">
        <f ca="1">'TUSD BE'!$N$24*'TUSD BE'!$N$58</f>
        <v>0</v>
      </c>
      <c r="O24" s="13">
        <f>'TUSD BE'!$O$24*'TUSD BE'!$O$58</f>
        <v>0</v>
      </c>
      <c r="P24" s="13">
        <f>'TUSD BE'!$P$24*'TUSD BE'!$P$58</f>
        <v>0</v>
      </c>
      <c r="Q24" s="13">
        <f>'TUSD BE'!$Q$24*'TUSD BE'!$Q$58</f>
        <v>0</v>
      </c>
      <c r="R24" s="13">
        <f>'TUSD BE'!$R$24*'TUSD BE'!$R$58</f>
        <v>0</v>
      </c>
      <c r="S24" s="13">
        <f>'TUSD BE'!$R$24*'TUSD BE'!$S$58</f>
        <v>0</v>
      </c>
      <c r="T24" s="13">
        <f ca="1">SUM($L$24:$S$24)</f>
        <v>-6.6009867887828186E-2</v>
      </c>
      <c r="U24" s="13">
        <f>'TUSD BE'!$U$24*'TUSD BE'!$U$58</f>
        <v>0</v>
      </c>
      <c r="V24" s="13">
        <f>'TUSD BE'!$V$24*'TUSD BE'!$V$58</f>
        <v>0</v>
      </c>
      <c r="W24" s="13">
        <f>'TUSD BE'!$W$24*'TUSD BE'!$W$58</f>
        <v>0</v>
      </c>
      <c r="X24" s="13">
        <f>'TUSD BE'!$X$24*'TUSD BE'!$X$58</f>
        <v>0</v>
      </c>
      <c r="Y24" s="13">
        <f>'TUSD BE'!$Y$24*'TUSD BE'!$Y$58</f>
        <v>-2.7910604427139765</v>
      </c>
      <c r="Z24" s="13">
        <f>'TUSD BE'!$Z$24*'TUSD BE'!$Z$58</f>
        <v>0</v>
      </c>
      <c r="AA24" s="13">
        <f>'TUSD BE'!$AA$24*'TUSD BE'!$AA$58</f>
        <v>0</v>
      </c>
      <c r="AB24" s="13">
        <f>SUM($U$24:$AA$24)</f>
        <v>-2.7910604427139765</v>
      </c>
      <c r="AC24" s="13">
        <f>'TUSD BE'!$AC$24*'TUSD BE'!$AC$58</f>
        <v>-317.02123506356378</v>
      </c>
      <c r="AD24" s="13">
        <f>SUM($AC$24:$AC$24)</f>
        <v>-317.02123506356378</v>
      </c>
      <c r="AE24" s="13">
        <f ca="1">$AO$24*$AO$55</f>
        <v>0</v>
      </c>
      <c r="AF24" s="13">
        <f ca="1">$AP$24*$AP$55</f>
        <v>0</v>
      </c>
      <c r="AG24" s="13">
        <f ca="1">SUM($AE$24:$AF$24)</f>
        <v>0</v>
      </c>
      <c r="AH24" s="13">
        <f>'TUSD BE'!$AH$24*'TUSD BE'!$AH$58</f>
        <v>-0.61774365023605504</v>
      </c>
      <c r="AI24" s="13">
        <f>'TUSD BE'!$AI$24*'TUSD BE'!$AI$58</f>
        <v>0</v>
      </c>
      <c r="AJ24" s="13">
        <f ca="1">'TUSD BE'!$AJ$24*'TUSD BE'!$AJ$58</f>
        <v>0</v>
      </c>
      <c r="AK24" s="13">
        <f ca="1">'TUSD BE'!$AK$24*'TUSD BE'!$AK$58</f>
        <v>0</v>
      </c>
      <c r="AL24" s="13">
        <f ca="1">SUM($AH$24:$AK$24)</f>
        <v>-0.61774365023605504</v>
      </c>
      <c r="AM24" s="13">
        <f ca="1">SUMIF($L$4:$AL$4,"SUBTOTAL",$L$24:$AL$24)</f>
        <v>-320.4960490244016</v>
      </c>
      <c r="AO24" s="26">
        <f ca="1">+'TUSD BE'!$T$24+'TUSD BE'!$AB$24+'TUSD BE'!$AD$24+'TUSD BE'!$AL$24</f>
        <v>672.62649262440902</v>
      </c>
      <c r="AP24" s="26">
        <f ca="1">+'TUSD BE'!$T$24+'TUSD BE'!$AB$24+'TUSD BE'!$AD$24+'TUSD BE'!$AL$24</f>
        <v>672.62649262440902</v>
      </c>
    </row>
    <row r="25" spans="1:42" ht="11.25" customHeight="1" x14ac:dyDescent="0.25">
      <c r="A25" s="103"/>
      <c r="B25" s="103" t="s">
        <v>78</v>
      </c>
      <c r="C25" s="103" t="s">
        <v>24</v>
      </c>
      <c r="D25" s="23" t="s">
        <v>24</v>
      </c>
      <c r="E25" s="23" t="s">
        <v>25</v>
      </c>
      <c r="F25" s="23" t="s">
        <v>25</v>
      </c>
      <c r="G25" s="24" t="s">
        <v>67</v>
      </c>
      <c r="H25" s="24" t="s">
        <v>60</v>
      </c>
      <c r="I25" s="24">
        <f>'MERCADO TUSD'!$U$22</f>
        <v>0</v>
      </c>
      <c r="J25" s="15"/>
      <c r="L25" s="13">
        <f>'TUSD BE'!$L$25*'TUSD BE'!$L$58</f>
        <v>-0.69865599538260181</v>
      </c>
      <c r="M25" s="13">
        <f>'TUSD BE'!$M$25*'TUSD BE'!$M$58</f>
        <v>-6.6009867887828186E-2</v>
      </c>
      <c r="N25" s="13">
        <f ca="1">'TUSD BE'!$N$25*'TUSD BE'!$N$58</f>
        <v>0</v>
      </c>
      <c r="O25" s="13">
        <f>'TUSD BE'!$O$25*'TUSD BE'!$O$58</f>
        <v>0</v>
      </c>
      <c r="P25" s="13">
        <f>'TUSD BE'!$P$25*'TUSD BE'!$P$58</f>
        <v>0</v>
      </c>
      <c r="Q25" s="13">
        <f>'TUSD BE'!$Q$25*'TUSD BE'!$Q$58</f>
        <v>-1.3122289916079237</v>
      </c>
      <c r="R25" s="13">
        <f>'TUSD BE'!$R$25*'TUSD BE'!$R$58</f>
        <v>-0.20295343846302683</v>
      </c>
      <c r="S25" s="13">
        <f>'TUSD BE'!$R$25*'TUSD BE'!$S$58</f>
        <v>0</v>
      </c>
      <c r="T25" s="13">
        <f ca="1">SUM($L$25:$S$25)</f>
        <v>-2.2798482933413804</v>
      </c>
      <c r="U25" s="13">
        <f>'TUSD BE'!$U$25*'TUSD BE'!$U$58</f>
        <v>0</v>
      </c>
      <c r="V25" s="13">
        <f>'TUSD BE'!$V$25*'TUSD BE'!$V$58</f>
        <v>0</v>
      </c>
      <c r="W25" s="13">
        <f>'TUSD BE'!$W$25*'TUSD BE'!$W$58</f>
        <v>0</v>
      </c>
      <c r="X25" s="13">
        <f>'TUSD BE'!$X$25*'TUSD BE'!$X$58</f>
        <v>0</v>
      </c>
      <c r="Y25" s="13">
        <f>'TUSD BE'!$Y$25*'TUSD BE'!$Y$58</f>
        <v>-2.7910604427139765</v>
      </c>
      <c r="Z25" s="13">
        <f>'TUSD BE'!$Z$25*'TUSD BE'!$Z$58</f>
        <v>0</v>
      </c>
      <c r="AA25" s="13">
        <f>'TUSD BE'!$AA$25*'TUSD BE'!$AA$58</f>
        <v>0</v>
      </c>
      <c r="AB25" s="13">
        <f>SUM($U$25:$AA$25)</f>
        <v>-2.7910604427139765</v>
      </c>
      <c r="AC25" s="13">
        <f>'TUSD BE'!$AC$25*'TUSD BE'!$AC$58</f>
        <v>-317.02123506356378</v>
      </c>
      <c r="AD25" s="13">
        <f>SUM($AC$25:$AC$25)</f>
        <v>-317.02123506356378</v>
      </c>
      <c r="AE25" s="13">
        <f ca="1">$AO$25*$AO$55</f>
        <v>0</v>
      </c>
      <c r="AF25" s="13">
        <f ca="1">$AP$25*$AP$55</f>
        <v>0</v>
      </c>
      <c r="AG25" s="13">
        <f ca="1">SUM($AE$25:$AF$25)</f>
        <v>0</v>
      </c>
      <c r="AH25" s="13">
        <f>'TUSD BE'!$AH$25*'TUSD BE'!$AH$58</f>
        <v>-0.61774365023605504</v>
      </c>
      <c r="AI25" s="13">
        <f>'TUSD BE'!$AI$25*'TUSD BE'!$AI$58</f>
        <v>0</v>
      </c>
      <c r="AJ25" s="13">
        <f ca="1">'TUSD BE'!$AJ$25*'TUSD BE'!$AJ$58</f>
        <v>0</v>
      </c>
      <c r="AK25" s="13">
        <f ca="1">'TUSD BE'!$AK$25*'TUSD BE'!$AK$58</f>
        <v>0</v>
      </c>
      <c r="AL25" s="13">
        <f ca="1">SUM($AH$25:$AK$25)</f>
        <v>-0.61774365023605504</v>
      </c>
      <c r="AM25" s="13">
        <f ca="1">SUMIF($L$4:$AL$4,"SUBTOTAL",$L$25:$AL$25)</f>
        <v>-322.70988744985516</v>
      </c>
      <c r="AO25" s="26">
        <f ca="1">+'TUSD BE'!$T$25+'TUSD BE'!$AB$25+'TUSD BE'!$AD$25+'TUSD BE'!$AL$25</f>
        <v>808.80152935754006</v>
      </c>
      <c r="AP25" s="26">
        <f ca="1">+'TUSD BE'!$T$25+'TUSD BE'!$AB$25+'TUSD BE'!$AD$25+'TUSD BE'!$AL$25</f>
        <v>808.80152935754006</v>
      </c>
    </row>
    <row r="26" spans="1:42" ht="11.25" customHeight="1" x14ac:dyDescent="0.25">
      <c r="A26" s="103"/>
      <c r="B26" s="103"/>
      <c r="C26" s="103"/>
      <c r="D26" s="23" t="s">
        <v>41</v>
      </c>
      <c r="E26" s="23" t="s">
        <v>25</v>
      </c>
      <c r="F26" s="23" t="s">
        <v>25</v>
      </c>
      <c r="G26" s="24" t="s">
        <v>67</v>
      </c>
      <c r="H26" s="24" t="s">
        <v>60</v>
      </c>
      <c r="I26" s="24">
        <f>'MERCADO TUSD'!$U$23</f>
        <v>0</v>
      </c>
      <c r="J26" s="15"/>
      <c r="L26" s="13">
        <f>'TUSD BE'!$L$26*'TUSD BE'!$L$58</f>
        <v>0</v>
      </c>
      <c r="M26" s="13">
        <f>'TUSD BE'!$M$26*'TUSD BE'!$M$58</f>
        <v>-6.6009867887828186E-2</v>
      </c>
      <c r="N26" s="13">
        <f ca="1">'TUSD BE'!$N$26*'TUSD BE'!$N$58</f>
        <v>0</v>
      </c>
      <c r="O26" s="13">
        <f>'TUSD BE'!$O$26*'TUSD BE'!$O$58</f>
        <v>0</v>
      </c>
      <c r="P26" s="13">
        <f>'TUSD BE'!$P$26*'TUSD BE'!$P$58</f>
        <v>0</v>
      </c>
      <c r="Q26" s="13">
        <f>'TUSD BE'!$Q$26*'TUSD BE'!$Q$58</f>
        <v>0</v>
      </c>
      <c r="R26" s="13">
        <f>'TUSD BE'!$R$26*'TUSD BE'!$R$58</f>
        <v>0</v>
      </c>
      <c r="S26" s="13">
        <f>'TUSD BE'!$R$26*'TUSD BE'!$S$58</f>
        <v>0</v>
      </c>
      <c r="T26" s="13">
        <f ca="1">SUM($L$26:$S$26)</f>
        <v>-6.6009867887828186E-2</v>
      </c>
      <c r="U26" s="13">
        <f>'TUSD BE'!$U$26*'TUSD BE'!$U$58</f>
        <v>0</v>
      </c>
      <c r="V26" s="13">
        <f>'TUSD BE'!$V$26*'TUSD BE'!$V$58</f>
        <v>0</v>
      </c>
      <c r="W26" s="13">
        <f>'TUSD BE'!$W$26*'TUSD BE'!$W$58</f>
        <v>0</v>
      </c>
      <c r="X26" s="13">
        <f>'TUSD BE'!$X$26*'TUSD BE'!$X$58</f>
        <v>0</v>
      </c>
      <c r="Y26" s="13">
        <f>'TUSD BE'!$Y$26*'TUSD BE'!$Y$58</f>
        <v>-2.7910604427139765</v>
      </c>
      <c r="Z26" s="13">
        <f>'TUSD BE'!$Z$26*'TUSD BE'!$Z$58</f>
        <v>0</v>
      </c>
      <c r="AA26" s="13">
        <f>'TUSD BE'!$AA$26*'TUSD BE'!$AA$58</f>
        <v>0</v>
      </c>
      <c r="AB26" s="13">
        <f>SUM($U$26:$AA$26)</f>
        <v>-2.7910604427139765</v>
      </c>
      <c r="AC26" s="13">
        <f>'TUSD BE'!$AC$26*'TUSD BE'!$AC$58</f>
        <v>-317.02123506356378</v>
      </c>
      <c r="AD26" s="13">
        <f>SUM($AC$26:$AC$26)</f>
        <v>-317.02123506356378</v>
      </c>
      <c r="AE26" s="13">
        <f ca="1">$AO$26*$AO$55</f>
        <v>0</v>
      </c>
      <c r="AF26" s="13">
        <f ca="1">$AP$26*$AP$55</f>
        <v>0</v>
      </c>
      <c r="AG26" s="13">
        <f ca="1">SUM($AE$26:$AF$26)</f>
        <v>0</v>
      </c>
      <c r="AH26" s="13">
        <f>'TUSD BE'!$AH$26*'TUSD BE'!$AH$58</f>
        <v>-0.61774365023605504</v>
      </c>
      <c r="AI26" s="13">
        <f>'TUSD BE'!$AI$26*'TUSD BE'!$AI$58</f>
        <v>0</v>
      </c>
      <c r="AJ26" s="13">
        <f ca="1">'TUSD BE'!$AJ$26*'TUSD BE'!$AJ$58</f>
        <v>0</v>
      </c>
      <c r="AK26" s="13">
        <f ca="1">'TUSD BE'!$AK$26*'TUSD BE'!$AK$58</f>
        <v>0</v>
      </c>
      <c r="AL26" s="13">
        <f ca="1">SUM($AH$26:$AK$26)</f>
        <v>-0.61774365023605504</v>
      </c>
      <c r="AM26" s="13">
        <f ca="1">SUMIF($L$4:$AL$4,"SUBTOTAL",$L$26:$AL$26)</f>
        <v>-320.4960490244016</v>
      </c>
      <c r="AO26" s="26">
        <f ca="1">+'TUSD BE'!$T$26+'TUSD BE'!$AB$26+'TUSD BE'!$AD$26+'TUSD BE'!$AL$26</f>
        <v>672.62649262440902</v>
      </c>
      <c r="AP26" s="26">
        <f ca="1">+'TUSD BE'!$T$26+'TUSD BE'!$AB$26+'TUSD BE'!$AD$26+'TUSD BE'!$AL$26</f>
        <v>672.62649262440902</v>
      </c>
    </row>
    <row r="27" spans="1:42" ht="11.25" customHeight="1" x14ac:dyDescent="0.25">
      <c r="A27" s="103"/>
      <c r="B27" s="103"/>
      <c r="C27" s="103"/>
      <c r="D27" s="23" t="s">
        <v>42</v>
      </c>
      <c r="E27" s="23" t="s">
        <v>25</v>
      </c>
      <c r="F27" s="23" t="s">
        <v>25</v>
      </c>
      <c r="G27" s="24" t="s">
        <v>67</v>
      </c>
      <c r="H27" s="24" t="s">
        <v>60</v>
      </c>
      <c r="I27" s="24">
        <f>'MERCADO TUSD'!$U$24</f>
        <v>0</v>
      </c>
      <c r="J27" s="15"/>
      <c r="L27" s="13">
        <f>'TUSD BE'!$L$27*'TUSD BE'!$L$58</f>
        <v>0</v>
      </c>
      <c r="M27" s="13">
        <f>'TUSD BE'!$M$27*'TUSD BE'!$M$58</f>
        <v>-6.6009867887828186E-2</v>
      </c>
      <c r="N27" s="13">
        <f ca="1">'TUSD BE'!$N$27*'TUSD BE'!$N$58</f>
        <v>0</v>
      </c>
      <c r="O27" s="13">
        <f>'TUSD BE'!$O$27*'TUSD BE'!$O$58</f>
        <v>0</v>
      </c>
      <c r="P27" s="13">
        <f>'TUSD BE'!$P$27*'TUSD BE'!$P$58</f>
        <v>0</v>
      </c>
      <c r="Q27" s="13">
        <f>'TUSD BE'!$Q$27*'TUSD BE'!$Q$58</f>
        <v>0</v>
      </c>
      <c r="R27" s="13">
        <f>'TUSD BE'!$R$27*'TUSD BE'!$R$58</f>
        <v>0</v>
      </c>
      <c r="S27" s="13">
        <f>'TUSD BE'!$R$27*'TUSD BE'!$S$58</f>
        <v>0</v>
      </c>
      <c r="T27" s="13">
        <f ca="1">SUM($L$27:$S$27)</f>
        <v>-6.6009867887828186E-2</v>
      </c>
      <c r="U27" s="13">
        <f>'TUSD BE'!$U$27*'TUSD BE'!$U$58</f>
        <v>0</v>
      </c>
      <c r="V27" s="13">
        <f>'TUSD BE'!$V$27*'TUSD BE'!$V$58</f>
        <v>0</v>
      </c>
      <c r="W27" s="13">
        <f>'TUSD BE'!$W$27*'TUSD BE'!$W$58</f>
        <v>0</v>
      </c>
      <c r="X27" s="13">
        <f>'TUSD BE'!$X$27*'TUSD BE'!$X$58</f>
        <v>0</v>
      </c>
      <c r="Y27" s="13">
        <f>'TUSD BE'!$Y$27*'TUSD BE'!$Y$58</f>
        <v>-2.7910604427139765</v>
      </c>
      <c r="Z27" s="13">
        <f>'TUSD BE'!$Z$27*'TUSD BE'!$Z$58</f>
        <v>0</v>
      </c>
      <c r="AA27" s="13">
        <f>'TUSD BE'!$AA$27*'TUSD BE'!$AA$58</f>
        <v>0</v>
      </c>
      <c r="AB27" s="13">
        <f>SUM($U$27:$AA$27)</f>
        <v>-2.7910604427139765</v>
      </c>
      <c r="AC27" s="13">
        <f>'TUSD BE'!$AC$27*'TUSD BE'!$AC$58</f>
        <v>-317.02123506356378</v>
      </c>
      <c r="AD27" s="13">
        <f>SUM($AC$27:$AC$27)</f>
        <v>-317.02123506356378</v>
      </c>
      <c r="AE27" s="13">
        <f ca="1">$AO$27*$AO$55</f>
        <v>0</v>
      </c>
      <c r="AF27" s="13">
        <f ca="1">$AP$27*$AP$55</f>
        <v>0</v>
      </c>
      <c r="AG27" s="13">
        <f ca="1">SUM($AE$27:$AF$27)</f>
        <v>0</v>
      </c>
      <c r="AH27" s="13">
        <f>'TUSD BE'!$AH$27*'TUSD BE'!$AH$58</f>
        <v>-0.61774365023605504</v>
      </c>
      <c r="AI27" s="13">
        <f>'TUSD BE'!$AI$27*'TUSD BE'!$AI$58</f>
        <v>0</v>
      </c>
      <c r="AJ27" s="13">
        <f ca="1">'TUSD BE'!$AJ$27*'TUSD BE'!$AJ$58</f>
        <v>0</v>
      </c>
      <c r="AK27" s="13">
        <f ca="1">'TUSD BE'!$AK$27*'TUSD BE'!$AK$58</f>
        <v>0</v>
      </c>
      <c r="AL27" s="13">
        <f ca="1">SUM($AH$27:$AK$27)</f>
        <v>-0.61774365023605504</v>
      </c>
      <c r="AM27" s="13">
        <f ca="1">SUMIF($L$4:$AL$4,"SUBTOTAL",$L$27:$AL$27)</f>
        <v>-320.4960490244016</v>
      </c>
      <c r="AO27" s="26">
        <f ca="1">+'TUSD BE'!$T$27+'TUSD BE'!$AB$27+'TUSD BE'!$AD$27+'TUSD BE'!$AL$27</f>
        <v>672.62649262440902</v>
      </c>
      <c r="AP27" s="26">
        <f ca="1">+'TUSD BE'!$T$27+'TUSD BE'!$AB$27+'TUSD BE'!$AD$27+'TUSD BE'!$AL$27</f>
        <v>672.62649262440902</v>
      </c>
    </row>
    <row r="28" spans="1:42" ht="11.25" customHeight="1" x14ac:dyDescent="0.25">
      <c r="A28" s="103"/>
      <c r="B28" s="103"/>
      <c r="C28" s="103"/>
      <c r="D28" s="23" t="s">
        <v>39</v>
      </c>
      <c r="E28" s="23" t="s">
        <v>25</v>
      </c>
      <c r="F28" s="23" t="s">
        <v>25</v>
      </c>
      <c r="G28" s="24" t="s">
        <v>67</v>
      </c>
      <c r="H28" s="24" t="s">
        <v>60</v>
      </c>
      <c r="I28" s="24">
        <f>'MERCADO TUSD'!$U$25</f>
        <v>0</v>
      </c>
      <c r="J28" s="15"/>
      <c r="L28" s="13">
        <f>'TUSD BE'!$L$28*'TUSD BE'!$L$58</f>
        <v>0</v>
      </c>
      <c r="M28" s="13">
        <f>'TUSD BE'!$M$28*'TUSD BE'!$M$58</f>
        <v>-6.6009867887828186E-2</v>
      </c>
      <c r="N28" s="13">
        <f ca="1">'TUSD BE'!$N$28*'TUSD BE'!$N$58</f>
        <v>0</v>
      </c>
      <c r="O28" s="13">
        <f>'TUSD BE'!$O$28*'TUSD BE'!$O$58</f>
        <v>0</v>
      </c>
      <c r="P28" s="13">
        <f>'TUSD BE'!$P$28*'TUSD BE'!$P$58</f>
        <v>0</v>
      </c>
      <c r="Q28" s="13">
        <f>'TUSD BE'!$Q$28*'TUSD BE'!$Q$58</f>
        <v>0</v>
      </c>
      <c r="R28" s="13">
        <f>'TUSD BE'!$R$28*'TUSD BE'!$R$58</f>
        <v>0</v>
      </c>
      <c r="S28" s="13">
        <f>'TUSD BE'!$R$28*'TUSD BE'!$S$58</f>
        <v>0</v>
      </c>
      <c r="T28" s="13">
        <f ca="1">SUM($L$28:$S$28)</f>
        <v>-6.6009867887828186E-2</v>
      </c>
      <c r="U28" s="13">
        <f>'TUSD BE'!$U$28*'TUSD BE'!$U$58</f>
        <v>0</v>
      </c>
      <c r="V28" s="13">
        <f>'TUSD BE'!$V$28*'TUSD BE'!$V$58</f>
        <v>0</v>
      </c>
      <c r="W28" s="13">
        <f>'TUSD BE'!$W$28*'TUSD BE'!$W$58</f>
        <v>0</v>
      </c>
      <c r="X28" s="13">
        <f>'TUSD BE'!$X$28*'TUSD BE'!$X$58</f>
        <v>0</v>
      </c>
      <c r="Y28" s="13">
        <f>'TUSD BE'!$Y$28*'TUSD BE'!$Y$58</f>
        <v>-2.7910604427139765</v>
      </c>
      <c r="Z28" s="13">
        <f>'TUSD BE'!$Z$28*'TUSD BE'!$Z$58</f>
        <v>0</v>
      </c>
      <c r="AA28" s="13">
        <f>'TUSD BE'!$AA$28*'TUSD BE'!$AA$58</f>
        <v>0</v>
      </c>
      <c r="AB28" s="13">
        <f>SUM($U$28:$AA$28)</f>
        <v>-2.7910604427139765</v>
      </c>
      <c r="AC28" s="13">
        <f>'TUSD BE'!$AC$28*'TUSD BE'!$AC$58</f>
        <v>-317.02123506356378</v>
      </c>
      <c r="AD28" s="13">
        <f>SUM($AC$28:$AC$28)</f>
        <v>-317.02123506356378</v>
      </c>
      <c r="AE28" s="13">
        <f ca="1">$AO$28*$AO$55</f>
        <v>0</v>
      </c>
      <c r="AF28" s="13">
        <f ca="1">$AP$28*$AP$55</f>
        <v>0</v>
      </c>
      <c r="AG28" s="13">
        <f ca="1">SUM($AE$28:$AF$28)</f>
        <v>0</v>
      </c>
      <c r="AH28" s="13">
        <f>'TUSD BE'!$AH$28*'TUSD BE'!$AH$58</f>
        <v>-0.61774365023605504</v>
      </c>
      <c r="AI28" s="13">
        <f>'TUSD BE'!$AI$28*'TUSD BE'!$AI$58</f>
        <v>0</v>
      </c>
      <c r="AJ28" s="13">
        <f ca="1">'TUSD BE'!$AJ$28*'TUSD BE'!$AJ$58</f>
        <v>0</v>
      </c>
      <c r="AK28" s="13">
        <f ca="1">'TUSD BE'!$AK$28*'TUSD BE'!$AK$58</f>
        <v>0</v>
      </c>
      <c r="AL28" s="13">
        <f ca="1">SUM($AH$28:$AK$28)</f>
        <v>-0.61774365023605504</v>
      </c>
      <c r="AM28" s="13">
        <f ca="1">SUMIF($L$4:$AL$4,"SUBTOTAL",$L$28:$AL$28)</f>
        <v>-320.4960490244016</v>
      </c>
      <c r="AO28" s="26">
        <f ca="1">+'TUSD BE'!$T$28+'TUSD BE'!$AB$28+'TUSD BE'!$AD$28+'TUSD BE'!$AL$28</f>
        <v>672.62649262440902</v>
      </c>
      <c r="AP28" s="26">
        <f ca="1">+'TUSD BE'!$T$28+'TUSD BE'!$AB$28+'TUSD BE'!$AD$28+'TUSD BE'!$AL$28</f>
        <v>672.62649262440902</v>
      </c>
    </row>
    <row r="29" spans="1:42" ht="11.25" customHeight="1" x14ac:dyDescent="0.25">
      <c r="A29" s="103"/>
      <c r="B29" s="103"/>
      <c r="C29" s="103"/>
      <c r="D29" s="23" t="s">
        <v>40</v>
      </c>
      <c r="E29" s="23" t="s">
        <v>25</v>
      </c>
      <c r="F29" s="23" t="s">
        <v>25</v>
      </c>
      <c r="G29" s="24" t="s">
        <v>67</v>
      </c>
      <c r="H29" s="24" t="s">
        <v>60</v>
      </c>
      <c r="I29" s="24">
        <f>'MERCADO TUSD'!$U$26</f>
        <v>0</v>
      </c>
      <c r="J29" s="15"/>
      <c r="L29" s="13">
        <f>'TUSD BE'!$L$29*'TUSD BE'!$L$58</f>
        <v>0</v>
      </c>
      <c r="M29" s="13">
        <f>'TUSD BE'!$M$29*'TUSD BE'!$M$58</f>
        <v>-6.6009867887828186E-2</v>
      </c>
      <c r="N29" s="13">
        <f ca="1">'TUSD BE'!$N$29*'TUSD BE'!$N$58</f>
        <v>0</v>
      </c>
      <c r="O29" s="13">
        <f>'TUSD BE'!$O$29*'TUSD BE'!$O$58</f>
        <v>0</v>
      </c>
      <c r="P29" s="13">
        <f>'TUSD BE'!$P$29*'TUSD BE'!$P$58</f>
        <v>0</v>
      </c>
      <c r="Q29" s="13">
        <f>'TUSD BE'!$Q$29*'TUSD BE'!$Q$58</f>
        <v>0</v>
      </c>
      <c r="R29" s="13">
        <f>'TUSD BE'!$R$29*'TUSD BE'!$R$58</f>
        <v>0</v>
      </c>
      <c r="S29" s="13">
        <f>'TUSD BE'!$R$29*'TUSD BE'!$S$58</f>
        <v>0</v>
      </c>
      <c r="T29" s="13">
        <f ca="1">SUM($L$29:$S$29)</f>
        <v>-6.6009867887828186E-2</v>
      </c>
      <c r="U29" s="13">
        <f>'TUSD BE'!$U$29*'TUSD BE'!$U$58</f>
        <v>0</v>
      </c>
      <c r="V29" s="13">
        <f>'TUSD BE'!$V$29*'TUSD BE'!$V$58</f>
        <v>0</v>
      </c>
      <c r="W29" s="13">
        <f>'TUSD BE'!$W$29*'TUSD BE'!$W$58</f>
        <v>0</v>
      </c>
      <c r="X29" s="13">
        <f>'TUSD BE'!$X$29*'TUSD BE'!$X$58</f>
        <v>0</v>
      </c>
      <c r="Y29" s="13">
        <f>'TUSD BE'!$Y$29*'TUSD BE'!$Y$58</f>
        <v>-2.7910604427139765</v>
      </c>
      <c r="Z29" s="13">
        <f>'TUSD BE'!$Z$29*'TUSD BE'!$Z$58</f>
        <v>0</v>
      </c>
      <c r="AA29" s="13">
        <f>'TUSD BE'!$AA$29*'TUSD BE'!$AA$58</f>
        <v>0</v>
      </c>
      <c r="AB29" s="13">
        <f>SUM($U$29:$AA$29)</f>
        <v>-2.7910604427139765</v>
      </c>
      <c r="AC29" s="13">
        <f>'TUSD BE'!$AC$29*'TUSD BE'!$AC$58</f>
        <v>-317.02123506356378</v>
      </c>
      <c r="AD29" s="13">
        <f>SUM($AC$29:$AC$29)</f>
        <v>-317.02123506356378</v>
      </c>
      <c r="AE29" s="13">
        <f ca="1">$AO$29*$AO$55</f>
        <v>0</v>
      </c>
      <c r="AF29" s="13">
        <f ca="1">$AP$29*$AP$55</f>
        <v>0</v>
      </c>
      <c r="AG29" s="13">
        <f ca="1">SUM($AE$29:$AF$29)</f>
        <v>0</v>
      </c>
      <c r="AH29" s="13">
        <f>'TUSD BE'!$AH$29*'TUSD BE'!$AH$58</f>
        <v>-0.61774365023605504</v>
      </c>
      <c r="AI29" s="13">
        <f>'TUSD BE'!$AI$29*'TUSD BE'!$AI$58</f>
        <v>0</v>
      </c>
      <c r="AJ29" s="13">
        <f ca="1">'TUSD BE'!$AJ$29*'TUSD BE'!$AJ$58</f>
        <v>0</v>
      </c>
      <c r="AK29" s="13">
        <f ca="1">'TUSD BE'!$AK$29*'TUSD BE'!$AK$58</f>
        <v>0</v>
      </c>
      <c r="AL29" s="13">
        <f ca="1">SUM($AH$29:$AK$29)</f>
        <v>-0.61774365023605504</v>
      </c>
      <c r="AM29" s="13">
        <f ca="1">SUMIF($L$4:$AL$4,"SUBTOTAL",$L$29:$AL$29)</f>
        <v>-320.4960490244016</v>
      </c>
      <c r="AO29" s="26">
        <f ca="1">+'TUSD BE'!$T$29+'TUSD BE'!$AB$29+'TUSD BE'!$AD$29+'TUSD BE'!$AL$29</f>
        <v>672.62649262440902</v>
      </c>
      <c r="AP29" s="26">
        <f ca="1">+'TUSD BE'!$T$29+'TUSD BE'!$AB$29+'TUSD BE'!$AD$29+'TUSD BE'!$AL$29</f>
        <v>672.62649262440902</v>
      </c>
    </row>
    <row r="30" spans="1:42" ht="11.25" customHeight="1" x14ac:dyDescent="0.25">
      <c r="A30" s="103" t="s">
        <v>31</v>
      </c>
      <c r="B30" s="103" t="s">
        <v>76</v>
      </c>
      <c r="C30" s="103" t="s">
        <v>32</v>
      </c>
      <c r="D30" s="103" t="s">
        <v>25</v>
      </c>
      <c r="E30" s="103" t="s">
        <v>25</v>
      </c>
      <c r="F30" s="103" t="s">
        <v>25</v>
      </c>
      <c r="G30" s="24" t="s">
        <v>61</v>
      </c>
      <c r="H30" s="24" t="s">
        <v>60</v>
      </c>
      <c r="I30" s="24">
        <f>'MERCADO TUSD'!$U$27</f>
        <v>0</v>
      </c>
      <c r="J30" s="15"/>
      <c r="L30" s="13">
        <f>'TUSD BE'!$L$30*'TUSD BE'!$L$58</f>
        <v>-0.69865599538260181</v>
      </c>
      <c r="M30" s="13">
        <f>'TUSD BE'!$M$30*'TUSD BE'!$M$58</f>
        <v>-6.6009867887828186E-2</v>
      </c>
      <c r="N30" s="13">
        <f ca="1">'TUSD BE'!$N$30*'TUSD BE'!$N$58</f>
        <v>0</v>
      </c>
      <c r="O30" s="13">
        <f>'TUSD BE'!$O$30*'TUSD BE'!$O$58</f>
        <v>0</v>
      </c>
      <c r="P30" s="13">
        <f>'TUSD BE'!$P$30*'TUSD BE'!$P$58</f>
        <v>0</v>
      </c>
      <c r="Q30" s="13">
        <f>'TUSD BE'!$Q$30*'TUSD BE'!$Q$58</f>
        <v>-1.3122289916079237</v>
      </c>
      <c r="R30" s="13">
        <f>'TUSD BE'!$R$30*'TUSD BE'!$R$58</f>
        <v>-0.20295343846302683</v>
      </c>
      <c r="S30" s="13">
        <f>'TUSD BE'!$R$30*'TUSD BE'!$S$58</f>
        <v>0</v>
      </c>
      <c r="T30" s="13">
        <f ca="1">SUM($L$30:$S$30)</f>
        <v>-2.2798482933413804</v>
      </c>
      <c r="U30" s="13">
        <f>'TUSD BE'!$U$30*'TUSD BE'!$U$58</f>
        <v>0</v>
      </c>
      <c r="V30" s="13">
        <f>'TUSD BE'!$V$30*'TUSD BE'!$V$58</f>
        <v>0</v>
      </c>
      <c r="W30" s="13">
        <f>'TUSD BE'!$W$30*'TUSD BE'!$W$58</f>
        <v>0</v>
      </c>
      <c r="X30" s="13">
        <f>'TUSD BE'!$X$30*'TUSD BE'!$X$58</f>
        <v>0</v>
      </c>
      <c r="Y30" s="13">
        <f>'TUSD BE'!$Y$30*'TUSD BE'!$Y$58</f>
        <v>-8.2339697683227691</v>
      </c>
      <c r="Z30" s="13">
        <f>'TUSD BE'!$Z$30*'TUSD BE'!$Z$58</f>
        <v>0</v>
      </c>
      <c r="AA30" s="13">
        <f>'TUSD BE'!$AA$30*'TUSD BE'!$AA$58</f>
        <v>0</v>
      </c>
      <c r="AB30" s="13">
        <f>SUM($U$30:$AA$30)</f>
        <v>-8.2339697683227691</v>
      </c>
      <c r="AC30" s="13">
        <f>'TUSD BE'!$AC$30*'TUSD BE'!$AC$58</f>
        <v>-935.21266479626331</v>
      </c>
      <c r="AD30" s="13">
        <f>SUM($AC$30:$AC$30)</f>
        <v>-935.21266479626331</v>
      </c>
      <c r="AE30" s="13">
        <f ca="1">$AO$30*$AO$55</f>
        <v>0</v>
      </c>
      <c r="AF30" s="13">
        <f ca="1">$AP$30*$AP$55</f>
        <v>0</v>
      </c>
      <c r="AG30" s="13">
        <f ca="1">SUM($AE$30:$AF$30)</f>
        <v>0</v>
      </c>
      <c r="AH30" s="13">
        <f>'TUSD BE'!$AH$30*'TUSD BE'!$AH$58</f>
        <v>-0.61774365023605504</v>
      </c>
      <c r="AI30" s="13">
        <f>'TUSD BE'!$AI$30*'TUSD BE'!$AI$58</f>
        <v>0</v>
      </c>
      <c r="AJ30" s="13">
        <f ca="1">'TUSD BE'!$AJ$30*'TUSD BE'!$AJ$58</f>
        <v>0</v>
      </c>
      <c r="AK30" s="13">
        <f ca="1">'TUSD BE'!$AK$30*'TUSD BE'!$AK$58</f>
        <v>0</v>
      </c>
      <c r="AL30" s="13">
        <f ca="1">SUM($AH$30:$AK$30)</f>
        <v>-0.61774365023605504</v>
      </c>
      <c r="AM30" s="13">
        <f ca="1">SUMIF($L$4:$AL$4,"SUBTOTAL",$L$30:$AL$30)</f>
        <v>-946.3442265081635</v>
      </c>
      <c r="AO30" s="26">
        <f ca="1">+'TUSD BE'!$T$30+'TUSD BE'!$AB$30+'TUSD BE'!$AD$30+'TUSD BE'!$AL$30</f>
        <v>2090.3841339881624</v>
      </c>
      <c r="AP30" s="26">
        <f ca="1">+'TUSD BE'!$T$30+'TUSD BE'!$AB$30+'TUSD BE'!$AD$30+'TUSD BE'!$AL$30</f>
        <v>2090.3841339881624</v>
      </c>
    </row>
    <row r="31" spans="1:42" ht="11.25" customHeight="1" x14ac:dyDescent="0.25">
      <c r="A31" s="103"/>
      <c r="B31" s="103"/>
      <c r="C31" s="103"/>
      <c r="D31" s="103"/>
      <c r="E31" s="103"/>
      <c r="F31" s="103"/>
      <c r="G31" s="24" t="s">
        <v>74</v>
      </c>
      <c r="H31" s="24" t="s">
        <v>60</v>
      </c>
      <c r="I31" s="24">
        <f>'MERCADO TUSD'!$U$28</f>
        <v>0</v>
      </c>
      <c r="J31" s="15"/>
      <c r="L31" s="13">
        <f>'TUSD BE'!$L$31*'TUSD BE'!$L$58</f>
        <v>-0.69865599538260181</v>
      </c>
      <c r="M31" s="13">
        <f>'TUSD BE'!$M$31*'TUSD BE'!$M$58</f>
        <v>-6.6009867887828186E-2</v>
      </c>
      <c r="N31" s="13">
        <f ca="1">'TUSD BE'!$N$31*'TUSD BE'!$N$58</f>
        <v>0</v>
      </c>
      <c r="O31" s="13">
        <f>'TUSD BE'!$O$31*'TUSD BE'!$O$58</f>
        <v>0</v>
      </c>
      <c r="P31" s="13">
        <f>'TUSD BE'!$P$31*'TUSD BE'!$P$58</f>
        <v>0</v>
      </c>
      <c r="Q31" s="13">
        <f>'TUSD BE'!$Q$31*'TUSD BE'!$Q$58</f>
        <v>-1.3122289916079237</v>
      </c>
      <c r="R31" s="13">
        <f>'TUSD BE'!$R$31*'TUSD BE'!$R$58</f>
        <v>-0.20295343846302683</v>
      </c>
      <c r="S31" s="13">
        <f>'TUSD BE'!$R$31*'TUSD BE'!$S$58</f>
        <v>0</v>
      </c>
      <c r="T31" s="13">
        <f ca="1">SUM($L$31:$S$31)</f>
        <v>-2.2798482933413804</v>
      </c>
      <c r="U31" s="13">
        <f>'TUSD BE'!$U$31*'TUSD BE'!$U$58</f>
        <v>0</v>
      </c>
      <c r="V31" s="13">
        <f>'TUSD BE'!$V$31*'TUSD BE'!$V$58</f>
        <v>0</v>
      </c>
      <c r="W31" s="13">
        <f>'TUSD BE'!$W$31*'TUSD BE'!$W$58</f>
        <v>0</v>
      </c>
      <c r="X31" s="13">
        <f>'TUSD BE'!$X$31*'TUSD BE'!$X$58</f>
        <v>0</v>
      </c>
      <c r="Y31" s="13">
        <f>'TUSD BE'!$Y$31*'TUSD BE'!$Y$58</f>
        <v>-4.9398316933256323</v>
      </c>
      <c r="Z31" s="13">
        <f>'TUSD BE'!$Z$31*'TUSD BE'!$Z$58</f>
        <v>0</v>
      </c>
      <c r="AA31" s="13">
        <f>'TUSD BE'!$AA$31*'TUSD BE'!$AA$58</f>
        <v>0</v>
      </c>
      <c r="AB31" s="13">
        <f>SUM($U$31:$AA$31)</f>
        <v>-4.9398316933256323</v>
      </c>
      <c r="AC31" s="13">
        <f>'TUSD BE'!$AC$31*'TUSD BE'!$AC$58</f>
        <v>-561.12739952942377</v>
      </c>
      <c r="AD31" s="13">
        <f>SUM($AC$31:$AC$31)</f>
        <v>-561.12739952942377</v>
      </c>
      <c r="AE31" s="13">
        <f ca="1">$AO$31*$AO$55</f>
        <v>0</v>
      </c>
      <c r="AF31" s="13">
        <f ca="1">$AP$31*$AP$55</f>
        <v>0</v>
      </c>
      <c r="AG31" s="13">
        <f ca="1">SUM($AE$31:$AF$31)</f>
        <v>0</v>
      </c>
      <c r="AH31" s="13">
        <f>'TUSD BE'!$AH$31*'TUSD BE'!$AH$58</f>
        <v>-0.61774365023605504</v>
      </c>
      <c r="AI31" s="13">
        <f>'TUSD BE'!$AI$31*'TUSD BE'!$AI$58</f>
        <v>0</v>
      </c>
      <c r="AJ31" s="13">
        <f ca="1">'TUSD BE'!$AJ$31*'TUSD BE'!$AJ$58</f>
        <v>0</v>
      </c>
      <c r="AK31" s="13">
        <f ca="1">'TUSD BE'!$AK$31*'TUSD BE'!$AK$58</f>
        <v>0</v>
      </c>
      <c r="AL31" s="13">
        <f ca="1">SUM($AH$31:$AK$31)</f>
        <v>-0.61774365023605504</v>
      </c>
      <c r="AM31" s="13">
        <f ca="1">SUMIF($L$4:$AL$4,"SUBTOTAL",$L$31:$AL$31)</f>
        <v>-568.96482316632682</v>
      </c>
      <c r="AO31" s="26">
        <f ca="1">+'TUSD BE'!$T$31+'TUSD BE'!$AB$31+'TUSD BE'!$AD$31+'TUSD BE'!$AL$31</f>
        <v>1314.834588631162</v>
      </c>
      <c r="AP31" s="26">
        <f ca="1">+'TUSD BE'!$T$31+'TUSD BE'!$AB$31+'TUSD BE'!$AD$31+'TUSD BE'!$AL$31</f>
        <v>1314.834588631162</v>
      </c>
    </row>
    <row r="32" spans="1:42" ht="11.25" customHeight="1" x14ac:dyDescent="0.25">
      <c r="A32" s="103"/>
      <c r="B32" s="103"/>
      <c r="C32" s="103"/>
      <c r="D32" s="103"/>
      <c r="E32" s="103"/>
      <c r="F32" s="103"/>
      <c r="G32" s="24" t="s">
        <v>62</v>
      </c>
      <c r="H32" s="24" t="s">
        <v>60</v>
      </c>
      <c r="I32" s="24">
        <f>'MERCADO TUSD'!$U$29</f>
        <v>0</v>
      </c>
      <c r="J32" s="15"/>
      <c r="L32" s="13">
        <f>'TUSD BE'!$L$32*'TUSD BE'!$L$58</f>
        <v>-0.69865599538260181</v>
      </c>
      <c r="M32" s="13">
        <f>'TUSD BE'!$M$32*'TUSD BE'!$M$58</f>
        <v>-6.6009867887828186E-2</v>
      </c>
      <c r="N32" s="13">
        <f ca="1">'TUSD BE'!$N$32*'TUSD BE'!$N$58</f>
        <v>0</v>
      </c>
      <c r="O32" s="13">
        <f>'TUSD BE'!$O$32*'TUSD BE'!$O$58</f>
        <v>0</v>
      </c>
      <c r="P32" s="13">
        <f>'TUSD BE'!$P$32*'TUSD BE'!$P$58</f>
        <v>0</v>
      </c>
      <c r="Q32" s="13">
        <f>'TUSD BE'!$Q$32*'TUSD BE'!$Q$58</f>
        <v>-1.3122289916079237</v>
      </c>
      <c r="R32" s="13">
        <f>'TUSD BE'!$R$32*'TUSD BE'!$R$58</f>
        <v>-0.20295343846302683</v>
      </c>
      <c r="S32" s="13">
        <f>'TUSD BE'!$R$32*'TUSD BE'!$S$58</f>
        <v>0</v>
      </c>
      <c r="T32" s="13">
        <f ca="1">SUM($L$32:$S$32)</f>
        <v>-2.2798482933413804</v>
      </c>
      <c r="U32" s="13">
        <f>'TUSD BE'!$U$32*'TUSD BE'!$U$58</f>
        <v>0</v>
      </c>
      <c r="V32" s="13">
        <f>'TUSD BE'!$V$32*'TUSD BE'!$V$58</f>
        <v>0</v>
      </c>
      <c r="W32" s="13">
        <f>'TUSD BE'!$W$32*'TUSD BE'!$W$58</f>
        <v>0</v>
      </c>
      <c r="X32" s="13">
        <f>'TUSD BE'!$X$32*'TUSD BE'!$X$58</f>
        <v>0</v>
      </c>
      <c r="Y32" s="13">
        <f>'TUSD BE'!$Y$32*'TUSD BE'!$Y$58</f>
        <v>-1.6456915821787252</v>
      </c>
      <c r="Z32" s="13">
        <f>'TUSD BE'!$Z$32*'TUSD BE'!$Z$58</f>
        <v>0</v>
      </c>
      <c r="AA32" s="13">
        <f>'TUSD BE'!$AA$32*'TUSD BE'!$AA$58</f>
        <v>0</v>
      </c>
      <c r="AB32" s="13">
        <f>SUM($U$32:$AA$32)</f>
        <v>-1.6456915821787252</v>
      </c>
      <c r="AC32" s="13">
        <f>'TUSD BE'!$AC$32*'TUSD BE'!$AC$58</f>
        <v>-187.04249024175252</v>
      </c>
      <c r="AD32" s="13">
        <f>SUM($AC$32:$AC$32)</f>
        <v>-187.04249024175252</v>
      </c>
      <c r="AE32" s="13">
        <f ca="1">$AO$32*$AO$55</f>
        <v>0</v>
      </c>
      <c r="AF32" s="13">
        <f ca="1">$AP$32*$AP$55</f>
        <v>0</v>
      </c>
      <c r="AG32" s="13">
        <f ca="1">SUM($AE$32:$AF$32)</f>
        <v>0</v>
      </c>
      <c r="AH32" s="13">
        <f>'TUSD BE'!$AH$32*'TUSD BE'!$AH$58</f>
        <v>-0.61774365023605504</v>
      </c>
      <c r="AI32" s="13">
        <f>'TUSD BE'!$AI$32*'TUSD BE'!$AI$58</f>
        <v>0</v>
      </c>
      <c r="AJ32" s="13">
        <f ca="1">'TUSD BE'!$AJ$32*'TUSD BE'!$AJ$58</f>
        <v>0</v>
      </c>
      <c r="AK32" s="13">
        <f ca="1">'TUSD BE'!$AK$32*'TUSD BE'!$AK$58</f>
        <v>0</v>
      </c>
      <c r="AL32" s="13">
        <f ca="1">SUM($AH$32:$AK$32)</f>
        <v>-0.61774365023605504</v>
      </c>
      <c r="AM32" s="13">
        <f ca="1">SUMIF($L$4:$AL$4,"SUBTOTAL",$L$32:$AL$32)</f>
        <v>-191.5857737675087</v>
      </c>
      <c r="AO32" s="26">
        <f ca="1">+'TUSD BE'!$T$32+'TUSD BE'!$AB$32+'TUSD BE'!$AD$32+'TUSD BE'!$AL$32</f>
        <v>539.2854855679243</v>
      </c>
      <c r="AP32" s="26">
        <f ca="1">+'TUSD BE'!$T$32+'TUSD BE'!$AB$32+'TUSD BE'!$AD$32+'TUSD BE'!$AL$32</f>
        <v>539.2854855679243</v>
      </c>
    </row>
    <row r="33" spans="1:42" ht="11.25" customHeight="1" x14ac:dyDescent="0.25">
      <c r="A33" s="103"/>
      <c r="B33" s="23" t="s">
        <v>23</v>
      </c>
      <c r="C33" s="23" t="s">
        <v>32</v>
      </c>
      <c r="D33" s="23" t="s">
        <v>25</v>
      </c>
      <c r="E33" s="23" t="s">
        <v>25</v>
      </c>
      <c r="F33" s="23" t="s">
        <v>25</v>
      </c>
      <c r="G33" s="24" t="s">
        <v>67</v>
      </c>
      <c r="H33" s="24" t="s">
        <v>60</v>
      </c>
      <c r="I33" s="24">
        <f>'MERCADO TUSD'!$U$30</f>
        <v>6180.567</v>
      </c>
      <c r="J33" s="15"/>
      <c r="L33" s="13">
        <f>'TUSD BE'!$L$33*'TUSD BE'!$L$58</f>
        <v>-0.69865599538260181</v>
      </c>
      <c r="M33" s="13">
        <f>'TUSD BE'!$M$33*'TUSD BE'!$M$58</f>
        <v>-6.6009867887828186E-2</v>
      </c>
      <c r="N33" s="13">
        <f ca="1">'TUSD BE'!$N$33*'TUSD BE'!$N$58</f>
        <v>0</v>
      </c>
      <c r="O33" s="13">
        <f>'TUSD BE'!$O$33*'TUSD BE'!$O$58</f>
        <v>0</v>
      </c>
      <c r="P33" s="13">
        <f>'TUSD BE'!$P$33*'TUSD BE'!$P$58</f>
        <v>0</v>
      </c>
      <c r="Q33" s="13">
        <f>'TUSD BE'!$Q$33*'TUSD BE'!$Q$58</f>
        <v>-1.3122289916079237</v>
      </c>
      <c r="R33" s="13">
        <f>'TUSD BE'!$R$33*'TUSD BE'!$R$58</f>
        <v>-0.20295343846302683</v>
      </c>
      <c r="S33" s="13">
        <f>'TUSD BE'!$R$33*'TUSD BE'!$S$58</f>
        <v>0</v>
      </c>
      <c r="T33" s="13">
        <f ca="1">SUM($L$33:$S$33)</f>
        <v>-2.2798482933413804</v>
      </c>
      <c r="U33" s="13">
        <f>'TUSD BE'!$U$33*'TUSD BE'!$U$58</f>
        <v>0</v>
      </c>
      <c r="V33" s="13">
        <f>'TUSD BE'!$V$33*'TUSD BE'!$V$58</f>
        <v>0</v>
      </c>
      <c r="W33" s="13">
        <f>'TUSD BE'!$W$33*'TUSD BE'!$W$58</f>
        <v>0</v>
      </c>
      <c r="X33" s="13">
        <f>'TUSD BE'!$X$33*'TUSD BE'!$X$58</f>
        <v>0</v>
      </c>
      <c r="Y33" s="13">
        <f>'TUSD BE'!$Y$33*'TUSD BE'!$Y$58</f>
        <v>-2.7910604427139765</v>
      </c>
      <c r="Z33" s="13">
        <f>'TUSD BE'!$Z$33*'TUSD BE'!$Z$58</f>
        <v>0</v>
      </c>
      <c r="AA33" s="13">
        <f>'TUSD BE'!$AA$33*'TUSD BE'!$AA$58</f>
        <v>0</v>
      </c>
      <c r="AB33" s="13">
        <f>SUM($U$33:$AA$33)</f>
        <v>-2.7910604427139765</v>
      </c>
      <c r="AC33" s="13">
        <f>'TUSD BE'!$AC$33*'TUSD BE'!$AC$58</f>
        <v>-317.02123506356378</v>
      </c>
      <c r="AD33" s="13">
        <f>SUM($AC$33:$AC$33)</f>
        <v>-317.02123506356378</v>
      </c>
      <c r="AE33" s="13">
        <f ca="1">$AO$33*$AO$55</f>
        <v>0</v>
      </c>
      <c r="AF33" s="13">
        <f ca="1">$AP$33*$AP$55</f>
        <v>0</v>
      </c>
      <c r="AG33" s="13">
        <f ca="1">SUM($AE$33:$AF$33)</f>
        <v>0</v>
      </c>
      <c r="AH33" s="13">
        <f>'TUSD BE'!$AH$33*'TUSD BE'!$AH$58</f>
        <v>-0.61774365023605504</v>
      </c>
      <c r="AI33" s="13">
        <f>'TUSD BE'!$AI$33*'TUSD BE'!$AI$58</f>
        <v>0</v>
      </c>
      <c r="AJ33" s="13">
        <f ca="1">'TUSD BE'!$AJ$33*'TUSD BE'!$AJ$58</f>
        <v>0</v>
      </c>
      <c r="AK33" s="13">
        <f ca="1">'TUSD BE'!$AK$33*'TUSD BE'!$AK$58</f>
        <v>0</v>
      </c>
      <c r="AL33" s="13">
        <f ca="1">SUM($AH$33:$AK$33)</f>
        <v>-0.61774365023605504</v>
      </c>
      <c r="AM33" s="13">
        <f ca="1">SUMIF($L$4:$AL$4,"SUBTOTAL",$L$33:$AL$33)</f>
        <v>-322.70988744985516</v>
      </c>
      <c r="AO33" s="26">
        <f ca="1">+'TUSD BE'!$T$33+'TUSD BE'!$AB$33+'TUSD BE'!$AD$33+'TUSD BE'!$AL$33</f>
        <v>808.80152935754006</v>
      </c>
      <c r="AP33" s="26">
        <f ca="1">+'TUSD BE'!$T$33+'TUSD BE'!$AB$33+'TUSD BE'!$AD$33+'TUSD BE'!$AL$33</f>
        <v>808.80152935754006</v>
      </c>
    </row>
    <row r="34" spans="1:42" ht="11.25" customHeight="1" x14ac:dyDescent="0.25">
      <c r="A34" s="103"/>
      <c r="B34" s="103" t="s">
        <v>76</v>
      </c>
      <c r="C34" s="103" t="s">
        <v>32</v>
      </c>
      <c r="D34" s="103" t="s">
        <v>79</v>
      </c>
      <c r="E34" s="103" t="s">
        <v>25</v>
      </c>
      <c r="F34" s="103" t="s">
        <v>25</v>
      </c>
      <c r="G34" s="24" t="s">
        <v>61</v>
      </c>
      <c r="H34" s="24" t="s">
        <v>60</v>
      </c>
      <c r="I34" s="24">
        <f>'MERCADO TUSD'!$U$31</f>
        <v>0</v>
      </c>
      <c r="J34" s="15"/>
      <c r="L34" s="13">
        <f>'TUSD BE'!$L$34*'TUSD BE'!$L$58</f>
        <v>-0.69865599538260181</v>
      </c>
      <c r="M34" s="13">
        <f>'TUSD BE'!$M$34*'TUSD BE'!$M$58</f>
        <v>-6.6009867887828186E-2</v>
      </c>
      <c r="N34" s="13">
        <f ca="1">'TUSD BE'!$N$34*'TUSD BE'!$N$58</f>
        <v>0</v>
      </c>
      <c r="O34" s="13">
        <f>'TUSD BE'!$O$34*'TUSD BE'!$O$58</f>
        <v>0</v>
      </c>
      <c r="P34" s="13">
        <f>'TUSD BE'!$P$34*'TUSD BE'!$P$58</f>
        <v>0</v>
      </c>
      <c r="Q34" s="13">
        <f>'TUSD BE'!$Q$34*'TUSD BE'!$Q$58</f>
        <v>-1.3122289916079237</v>
      </c>
      <c r="R34" s="13">
        <f>'TUSD BE'!$R$34*'TUSD BE'!$R$58</f>
        <v>-0.20295343846302683</v>
      </c>
      <c r="S34" s="13">
        <f>'TUSD BE'!$R$34*'TUSD BE'!$S$58</f>
        <v>0</v>
      </c>
      <c r="T34" s="13">
        <f ca="1">SUM($L$34:$S$34)</f>
        <v>-2.2798482933413804</v>
      </c>
      <c r="U34" s="13">
        <f>'TUSD BE'!$U$34*'TUSD BE'!$U$58</f>
        <v>0</v>
      </c>
      <c r="V34" s="13">
        <f>'TUSD BE'!$V$34*'TUSD BE'!$V$58</f>
        <v>0</v>
      </c>
      <c r="W34" s="13">
        <f>'TUSD BE'!$W$34*'TUSD BE'!$W$58</f>
        <v>0</v>
      </c>
      <c r="X34" s="13">
        <f>'TUSD BE'!$X$34*'TUSD BE'!$X$58</f>
        <v>0</v>
      </c>
      <c r="Y34" s="13">
        <f>'TUSD BE'!$Y$34*'TUSD BE'!$Y$58</f>
        <v>-8.2339697683227691</v>
      </c>
      <c r="Z34" s="13">
        <f>'TUSD BE'!$Z$34*'TUSD BE'!$Z$58</f>
        <v>0</v>
      </c>
      <c r="AA34" s="13">
        <f>'TUSD BE'!$AA$34*'TUSD BE'!$AA$58</f>
        <v>0</v>
      </c>
      <c r="AB34" s="13">
        <f>SUM($U$34:$AA$34)</f>
        <v>-8.2339697683227691</v>
      </c>
      <c r="AC34" s="13">
        <f>'TUSD BE'!$AC$34*'TUSD BE'!$AC$58</f>
        <v>-935.21266479626331</v>
      </c>
      <c r="AD34" s="13">
        <f>SUM($AC$34:$AC$34)</f>
        <v>-935.21266479626331</v>
      </c>
      <c r="AE34" s="13">
        <f ca="1">$AO$34*$AO$55</f>
        <v>0</v>
      </c>
      <c r="AF34" s="13">
        <f ca="1">$AP$34*$AP$55</f>
        <v>0</v>
      </c>
      <c r="AG34" s="13">
        <f ca="1">SUM($AE$34:$AF$34)</f>
        <v>0</v>
      </c>
      <c r="AH34" s="13">
        <f>'TUSD BE'!$AH$34*'TUSD BE'!$AH$58</f>
        <v>-0.61774365023605504</v>
      </c>
      <c r="AI34" s="13">
        <f>'TUSD BE'!$AI$34*'TUSD BE'!$AI$58</f>
        <v>0</v>
      </c>
      <c r="AJ34" s="13">
        <f ca="1">'TUSD BE'!$AJ$34*'TUSD BE'!$AJ$58</f>
        <v>0</v>
      </c>
      <c r="AK34" s="13">
        <f ca="1">'TUSD BE'!$AK$34*'TUSD BE'!$AK$58</f>
        <v>0</v>
      </c>
      <c r="AL34" s="13">
        <f ca="1">SUM($AH$34:$AK$34)</f>
        <v>-0.61774365023605504</v>
      </c>
      <c r="AM34" s="13">
        <f ca="1">SUMIF($L$4:$AL$4,"SUBTOTAL",$L$34:$AL$34)</f>
        <v>-946.3442265081635</v>
      </c>
      <c r="AO34" s="26">
        <f ca="1">+'TUSD BE'!$T$34+'TUSD BE'!$AB$34+'TUSD BE'!$AD$34+'TUSD BE'!$AL$34</f>
        <v>2090.3841339881624</v>
      </c>
      <c r="AP34" s="26">
        <f ca="1">+'TUSD BE'!$T$34+'TUSD BE'!$AB$34+'TUSD BE'!$AD$34+'TUSD BE'!$AL$34</f>
        <v>2090.3841339881624</v>
      </c>
    </row>
    <row r="35" spans="1:42" ht="11.25" customHeight="1" x14ac:dyDescent="0.25">
      <c r="A35" s="103"/>
      <c r="B35" s="103"/>
      <c r="C35" s="103"/>
      <c r="D35" s="103"/>
      <c r="E35" s="103"/>
      <c r="F35" s="103"/>
      <c r="G35" s="24" t="s">
        <v>74</v>
      </c>
      <c r="H35" s="24" t="s">
        <v>60</v>
      </c>
      <c r="I35" s="24">
        <f>'MERCADO TUSD'!$U$32</f>
        <v>0</v>
      </c>
      <c r="J35" s="15"/>
      <c r="L35" s="13">
        <f>'TUSD BE'!$L$35*'TUSD BE'!$L$58</f>
        <v>-0.69865599538260181</v>
      </c>
      <c r="M35" s="13">
        <f>'TUSD BE'!$M$35*'TUSD BE'!$M$58</f>
        <v>-6.6009867887828186E-2</v>
      </c>
      <c r="N35" s="13">
        <f ca="1">'TUSD BE'!$N$35*'TUSD BE'!$N$58</f>
        <v>0</v>
      </c>
      <c r="O35" s="13">
        <f>'TUSD BE'!$O$35*'TUSD BE'!$O$58</f>
        <v>0</v>
      </c>
      <c r="P35" s="13">
        <f>'TUSD BE'!$P$35*'TUSD BE'!$P$58</f>
        <v>0</v>
      </c>
      <c r="Q35" s="13">
        <f>'TUSD BE'!$Q$35*'TUSD BE'!$Q$58</f>
        <v>-1.3122289916079237</v>
      </c>
      <c r="R35" s="13">
        <f>'TUSD BE'!$R$35*'TUSD BE'!$R$58</f>
        <v>-0.20295343846302683</v>
      </c>
      <c r="S35" s="13">
        <f>'TUSD BE'!$R$35*'TUSD BE'!$S$58</f>
        <v>0</v>
      </c>
      <c r="T35" s="13">
        <f ca="1">SUM($L$35:$S$35)</f>
        <v>-2.2798482933413804</v>
      </c>
      <c r="U35" s="13">
        <f>'TUSD BE'!$U$35*'TUSD BE'!$U$58</f>
        <v>0</v>
      </c>
      <c r="V35" s="13">
        <f>'TUSD BE'!$V$35*'TUSD BE'!$V$58</f>
        <v>0</v>
      </c>
      <c r="W35" s="13">
        <f>'TUSD BE'!$W$35*'TUSD BE'!$W$58</f>
        <v>0</v>
      </c>
      <c r="X35" s="13">
        <f>'TUSD BE'!$X$35*'TUSD BE'!$X$58</f>
        <v>0</v>
      </c>
      <c r="Y35" s="13">
        <f>'TUSD BE'!$Y$35*'TUSD BE'!$Y$58</f>
        <v>-4.9398316933256323</v>
      </c>
      <c r="Z35" s="13">
        <f>'TUSD BE'!$Z$35*'TUSD BE'!$Z$58</f>
        <v>0</v>
      </c>
      <c r="AA35" s="13">
        <f>'TUSD BE'!$AA$35*'TUSD BE'!$AA$58</f>
        <v>0</v>
      </c>
      <c r="AB35" s="13">
        <f>SUM($U$35:$AA$35)</f>
        <v>-4.9398316933256323</v>
      </c>
      <c r="AC35" s="13">
        <f>'TUSD BE'!$AC$35*'TUSD BE'!$AC$58</f>
        <v>-561.12739952942377</v>
      </c>
      <c r="AD35" s="13">
        <f>SUM($AC$35:$AC$35)</f>
        <v>-561.12739952942377</v>
      </c>
      <c r="AE35" s="13">
        <f ca="1">$AO$35*$AO$55</f>
        <v>0</v>
      </c>
      <c r="AF35" s="13">
        <f ca="1">$AP$35*$AP$55</f>
        <v>0</v>
      </c>
      <c r="AG35" s="13">
        <f ca="1">SUM($AE$35:$AF$35)</f>
        <v>0</v>
      </c>
      <c r="AH35" s="13">
        <f>'TUSD BE'!$AH$35*'TUSD BE'!$AH$58</f>
        <v>-0.61774365023605504</v>
      </c>
      <c r="AI35" s="13">
        <f>'TUSD BE'!$AI$35*'TUSD BE'!$AI$58</f>
        <v>0</v>
      </c>
      <c r="AJ35" s="13">
        <f ca="1">'TUSD BE'!$AJ$35*'TUSD BE'!$AJ$58</f>
        <v>0</v>
      </c>
      <c r="AK35" s="13">
        <f ca="1">'TUSD BE'!$AK$35*'TUSD BE'!$AK$58</f>
        <v>0</v>
      </c>
      <c r="AL35" s="13">
        <f ca="1">SUM($AH$35:$AK$35)</f>
        <v>-0.61774365023605504</v>
      </c>
      <c r="AM35" s="13">
        <f ca="1">SUMIF($L$4:$AL$4,"SUBTOTAL",$L$35:$AL$35)</f>
        <v>-568.96482316632682</v>
      </c>
      <c r="AO35" s="26">
        <f ca="1">+'TUSD BE'!$T$35+'TUSD BE'!$AB$35+'TUSD BE'!$AD$35+'TUSD BE'!$AL$35</f>
        <v>1314.834588631162</v>
      </c>
      <c r="AP35" s="26">
        <f ca="1">+'TUSD BE'!$T$35+'TUSD BE'!$AB$35+'TUSD BE'!$AD$35+'TUSD BE'!$AL$35</f>
        <v>1314.834588631162</v>
      </c>
    </row>
    <row r="36" spans="1:42" ht="11.25" customHeight="1" x14ac:dyDescent="0.25">
      <c r="A36" s="103"/>
      <c r="B36" s="103"/>
      <c r="C36" s="103"/>
      <c r="D36" s="103"/>
      <c r="E36" s="103"/>
      <c r="F36" s="103"/>
      <c r="G36" s="24" t="s">
        <v>62</v>
      </c>
      <c r="H36" s="24" t="s">
        <v>60</v>
      </c>
      <c r="I36" s="24">
        <f>'MERCADO TUSD'!$U$33</f>
        <v>0</v>
      </c>
      <c r="J36" s="15"/>
      <c r="L36" s="13">
        <f>'TUSD BE'!$L$36*'TUSD BE'!$L$58</f>
        <v>-0.69865599538260181</v>
      </c>
      <c r="M36" s="13">
        <f>'TUSD BE'!$M$36*'TUSD BE'!$M$58</f>
        <v>-6.6009867887828186E-2</v>
      </c>
      <c r="N36" s="13">
        <f ca="1">'TUSD BE'!$N$36*'TUSD BE'!$N$58</f>
        <v>0</v>
      </c>
      <c r="O36" s="13">
        <f>'TUSD BE'!$O$36*'TUSD BE'!$O$58</f>
        <v>0</v>
      </c>
      <c r="P36" s="13">
        <f>'TUSD BE'!$P$36*'TUSD BE'!$P$58</f>
        <v>0</v>
      </c>
      <c r="Q36" s="13">
        <f>'TUSD BE'!$Q$36*'TUSD BE'!$Q$58</f>
        <v>-1.3122289916079237</v>
      </c>
      <c r="R36" s="13">
        <f>'TUSD BE'!$R$36*'TUSD BE'!$R$58</f>
        <v>-0.20295343846302683</v>
      </c>
      <c r="S36" s="13">
        <f>'TUSD BE'!$R$36*'TUSD BE'!$S$58</f>
        <v>0</v>
      </c>
      <c r="T36" s="13">
        <f ca="1">SUM($L$36:$S$36)</f>
        <v>-2.2798482933413804</v>
      </c>
      <c r="U36" s="13">
        <f>'TUSD BE'!$U$36*'TUSD BE'!$U$58</f>
        <v>0</v>
      </c>
      <c r="V36" s="13">
        <f>'TUSD BE'!$V$36*'TUSD BE'!$V$58</f>
        <v>0</v>
      </c>
      <c r="W36" s="13">
        <f>'TUSD BE'!$W$36*'TUSD BE'!$W$58</f>
        <v>0</v>
      </c>
      <c r="X36" s="13">
        <f>'TUSD BE'!$X$36*'TUSD BE'!$X$58</f>
        <v>0</v>
      </c>
      <c r="Y36" s="13">
        <f>'TUSD BE'!$Y$36*'TUSD BE'!$Y$58</f>
        <v>-1.6456915821787252</v>
      </c>
      <c r="Z36" s="13">
        <f>'TUSD BE'!$Z$36*'TUSD BE'!$Z$58</f>
        <v>0</v>
      </c>
      <c r="AA36" s="13">
        <f>'TUSD BE'!$AA$36*'TUSD BE'!$AA$58</f>
        <v>0</v>
      </c>
      <c r="AB36" s="13">
        <f>SUM($U$36:$AA$36)</f>
        <v>-1.6456915821787252</v>
      </c>
      <c r="AC36" s="13">
        <f>'TUSD BE'!$AC$36*'TUSD BE'!$AC$58</f>
        <v>-187.04249024175252</v>
      </c>
      <c r="AD36" s="13">
        <f>SUM($AC$36:$AC$36)</f>
        <v>-187.04249024175252</v>
      </c>
      <c r="AE36" s="13">
        <f ca="1">$AO$36*$AO$55</f>
        <v>0</v>
      </c>
      <c r="AF36" s="13">
        <f ca="1">$AP$36*$AP$55</f>
        <v>0</v>
      </c>
      <c r="AG36" s="13">
        <f ca="1">SUM($AE$36:$AF$36)</f>
        <v>0</v>
      </c>
      <c r="AH36" s="13">
        <f>'TUSD BE'!$AH$36*'TUSD BE'!$AH$58</f>
        <v>-0.61774365023605504</v>
      </c>
      <c r="AI36" s="13">
        <f>'TUSD BE'!$AI$36*'TUSD BE'!$AI$58</f>
        <v>0</v>
      </c>
      <c r="AJ36" s="13">
        <f ca="1">'TUSD BE'!$AJ$36*'TUSD BE'!$AJ$58</f>
        <v>0</v>
      </c>
      <c r="AK36" s="13">
        <f ca="1">'TUSD BE'!$AK$36*'TUSD BE'!$AK$58</f>
        <v>0</v>
      </c>
      <c r="AL36" s="13">
        <f ca="1">SUM($AH$36:$AK$36)</f>
        <v>-0.61774365023605504</v>
      </c>
      <c r="AM36" s="13">
        <f ca="1">SUMIF($L$4:$AL$4,"SUBTOTAL",$L$36:$AL$36)</f>
        <v>-191.5857737675087</v>
      </c>
      <c r="AO36" s="26">
        <f ca="1">+'TUSD BE'!$T$36+'TUSD BE'!$AB$36+'TUSD BE'!$AD$36+'TUSD BE'!$AL$36</f>
        <v>539.2854855679243</v>
      </c>
      <c r="AP36" s="26">
        <f ca="1">+'TUSD BE'!$T$36+'TUSD BE'!$AB$36+'TUSD BE'!$AD$36+'TUSD BE'!$AL$36</f>
        <v>539.2854855679243</v>
      </c>
    </row>
    <row r="37" spans="1:42" ht="11.25" customHeight="1" x14ac:dyDescent="0.25">
      <c r="A37" s="103"/>
      <c r="B37" s="23" t="s">
        <v>23</v>
      </c>
      <c r="C37" s="23" t="s">
        <v>32</v>
      </c>
      <c r="D37" s="23" t="s">
        <v>79</v>
      </c>
      <c r="E37" s="23" t="s">
        <v>25</v>
      </c>
      <c r="F37" s="23" t="s">
        <v>25</v>
      </c>
      <c r="G37" s="24" t="s">
        <v>67</v>
      </c>
      <c r="H37" s="24" t="s">
        <v>60</v>
      </c>
      <c r="I37" s="24">
        <f>'MERCADO TUSD'!$U$34</f>
        <v>0</v>
      </c>
      <c r="J37" s="15"/>
      <c r="L37" s="13">
        <f>'TUSD BE'!$L$37*'TUSD BE'!$L$58</f>
        <v>-0.69865599538260181</v>
      </c>
      <c r="M37" s="13">
        <f>'TUSD BE'!$M$37*'TUSD BE'!$M$58</f>
        <v>-6.6009867887828186E-2</v>
      </c>
      <c r="N37" s="13">
        <f ca="1">'TUSD BE'!$N$37*'TUSD BE'!$N$58</f>
        <v>0</v>
      </c>
      <c r="O37" s="13">
        <f>'TUSD BE'!$O$37*'TUSD BE'!$O$58</f>
        <v>0</v>
      </c>
      <c r="P37" s="13">
        <f>'TUSD BE'!$P$37*'TUSD BE'!$P$58</f>
        <v>0</v>
      </c>
      <c r="Q37" s="13">
        <f>'TUSD BE'!$Q$37*'TUSD BE'!$Q$58</f>
        <v>-1.3122289916079237</v>
      </c>
      <c r="R37" s="13">
        <f>'TUSD BE'!$R$37*'TUSD BE'!$R$58</f>
        <v>-0.20295343846302683</v>
      </c>
      <c r="S37" s="13">
        <f>'TUSD BE'!$R$37*'TUSD BE'!$S$58</f>
        <v>0</v>
      </c>
      <c r="T37" s="13">
        <f ca="1">SUM($L$37:$S$37)</f>
        <v>-2.2798482933413804</v>
      </c>
      <c r="U37" s="13">
        <f>'TUSD BE'!$U$37*'TUSD BE'!$U$58</f>
        <v>0</v>
      </c>
      <c r="V37" s="13">
        <f>'TUSD BE'!$V$37*'TUSD BE'!$V$58</f>
        <v>0</v>
      </c>
      <c r="W37" s="13">
        <f>'TUSD BE'!$W$37*'TUSD BE'!$W$58</f>
        <v>0</v>
      </c>
      <c r="X37" s="13">
        <f>'TUSD BE'!$X$37*'TUSD BE'!$X$58</f>
        <v>0</v>
      </c>
      <c r="Y37" s="13">
        <f>'TUSD BE'!$Y$37*'TUSD BE'!$Y$58</f>
        <v>-2.7910604427139765</v>
      </c>
      <c r="Z37" s="13">
        <f>'TUSD BE'!$Z$37*'TUSD BE'!$Z$58</f>
        <v>0</v>
      </c>
      <c r="AA37" s="13">
        <f>'TUSD BE'!$AA$37*'TUSD BE'!$AA$58</f>
        <v>0</v>
      </c>
      <c r="AB37" s="13">
        <f>SUM($U$37:$AA$37)</f>
        <v>-2.7910604427139765</v>
      </c>
      <c r="AC37" s="13">
        <f>'TUSD BE'!$AC$37*'TUSD BE'!$AC$58</f>
        <v>-317.02123506356378</v>
      </c>
      <c r="AD37" s="13">
        <f>SUM($AC$37:$AC$37)</f>
        <v>-317.02123506356378</v>
      </c>
      <c r="AE37" s="13">
        <f ca="1">$AO$37*$AO$55</f>
        <v>0</v>
      </c>
      <c r="AF37" s="13">
        <f ca="1">$AP$37*$AP$55</f>
        <v>0</v>
      </c>
      <c r="AG37" s="13">
        <f ca="1">SUM($AE$37:$AF$37)</f>
        <v>0</v>
      </c>
      <c r="AH37" s="13">
        <f>'TUSD BE'!$AH$37*'TUSD BE'!$AH$58</f>
        <v>-0.61774365023605504</v>
      </c>
      <c r="AI37" s="13">
        <f>'TUSD BE'!$AI$37*'TUSD BE'!$AI$58</f>
        <v>0</v>
      </c>
      <c r="AJ37" s="13">
        <f ca="1">'TUSD BE'!$AJ$37*'TUSD BE'!$AJ$58</f>
        <v>0</v>
      </c>
      <c r="AK37" s="13">
        <f ca="1">'TUSD BE'!$AK$37*'TUSD BE'!$AK$58</f>
        <v>0</v>
      </c>
      <c r="AL37" s="13">
        <f ca="1">SUM($AH$37:$AK$37)</f>
        <v>-0.61774365023605504</v>
      </c>
      <c r="AM37" s="13">
        <f ca="1">SUMIF($L$4:$AL$4,"SUBTOTAL",$L$37:$AL$37)</f>
        <v>-322.70988744985516</v>
      </c>
      <c r="AO37" s="26">
        <f ca="1">+'TUSD BE'!$T$37+'TUSD BE'!$AB$37+'TUSD BE'!$AD$37+'TUSD BE'!$AL$37</f>
        <v>808.80152935754006</v>
      </c>
      <c r="AP37" s="26">
        <f ca="1">+'TUSD BE'!$T$37+'TUSD BE'!$AB$37+'TUSD BE'!$AD$37+'TUSD BE'!$AL$37</f>
        <v>808.80152935754006</v>
      </c>
    </row>
    <row r="38" spans="1:42" ht="11.25" customHeight="1" x14ac:dyDescent="0.25">
      <c r="A38" s="103"/>
      <c r="B38" s="103" t="s">
        <v>76</v>
      </c>
      <c r="C38" s="103" t="s">
        <v>32</v>
      </c>
      <c r="D38" s="103" t="s">
        <v>80</v>
      </c>
      <c r="E38" s="103" t="s">
        <v>25</v>
      </c>
      <c r="F38" s="103" t="s">
        <v>25</v>
      </c>
      <c r="G38" s="24" t="s">
        <v>61</v>
      </c>
      <c r="H38" s="24" t="s">
        <v>60</v>
      </c>
      <c r="I38" s="24">
        <f>'MERCADO TUSD'!$U$35</f>
        <v>0</v>
      </c>
      <c r="J38" s="15"/>
      <c r="L38" s="13">
        <f>'TUSD BE'!$L$38*'TUSD BE'!$L$58</f>
        <v>-0.69865599538260181</v>
      </c>
      <c r="M38" s="13">
        <f>'TUSD BE'!$M$38*'TUSD BE'!$M$58</f>
        <v>-6.6009867887828186E-2</v>
      </c>
      <c r="N38" s="13">
        <f ca="1">'TUSD BE'!$N$38*'TUSD BE'!$N$58</f>
        <v>0</v>
      </c>
      <c r="O38" s="13">
        <f>'TUSD BE'!$O$38*'TUSD BE'!$O$58</f>
        <v>0</v>
      </c>
      <c r="P38" s="13">
        <f>'TUSD BE'!$P$38*'TUSD BE'!$P$58</f>
        <v>0</v>
      </c>
      <c r="Q38" s="13">
        <f>'TUSD BE'!$Q$38*'TUSD BE'!$Q$58</f>
        <v>-1.3122289916079237</v>
      </c>
      <c r="R38" s="13">
        <f>'TUSD BE'!$R$38*'TUSD BE'!$R$58</f>
        <v>-0.20295343846302683</v>
      </c>
      <c r="S38" s="13">
        <f>'TUSD BE'!$R$38*'TUSD BE'!$S$58</f>
        <v>0</v>
      </c>
      <c r="T38" s="13">
        <f ca="1">SUM($L$38:$S$38)</f>
        <v>-2.2798482933413804</v>
      </c>
      <c r="U38" s="13">
        <f>'TUSD BE'!$U$38*'TUSD BE'!$U$58</f>
        <v>0</v>
      </c>
      <c r="V38" s="13">
        <f>'TUSD BE'!$V$38*'TUSD BE'!$V$58</f>
        <v>0</v>
      </c>
      <c r="W38" s="13">
        <f>'TUSD BE'!$W$38*'TUSD BE'!$W$58</f>
        <v>0</v>
      </c>
      <c r="X38" s="13">
        <f>'TUSD BE'!$X$38*'TUSD BE'!$X$58</f>
        <v>0</v>
      </c>
      <c r="Y38" s="13">
        <f>'TUSD BE'!$Y$38*'TUSD BE'!$Y$58</f>
        <v>-8.2339697683227691</v>
      </c>
      <c r="Z38" s="13">
        <f>'TUSD BE'!$Z$38*'TUSD BE'!$Z$58</f>
        <v>0</v>
      </c>
      <c r="AA38" s="13">
        <f>'TUSD BE'!$AA$38*'TUSD BE'!$AA$58</f>
        <v>0</v>
      </c>
      <c r="AB38" s="13">
        <f>SUM($U$38:$AA$38)</f>
        <v>-8.2339697683227691</v>
      </c>
      <c r="AC38" s="13">
        <f>'TUSD BE'!$AC$38*'TUSD BE'!$AC$58</f>
        <v>-935.21266479626331</v>
      </c>
      <c r="AD38" s="13">
        <f>SUM($AC$38:$AC$38)</f>
        <v>-935.21266479626331</v>
      </c>
      <c r="AE38" s="13">
        <f ca="1">$AO$38*$AO$55</f>
        <v>0</v>
      </c>
      <c r="AF38" s="13">
        <f ca="1">$AP$38*$AP$55</f>
        <v>0</v>
      </c>
      <c r="AG38" s="13">
        <f ca="1">SUM($AE$38:$AF$38)</f>
        <v>0</v>
      </c>
      <c r="AH38" s="13">
        <f>'TUSD BE'!$AH$38*'TUSD BE'!$AH$58</f>
        <v>-0.61774365023605504</v>
      </c>
      <c r="AI38" s="13">
        <f>'TUSD BE'!$AI$38*'TUSD BE'!$AI$58</f>
        <v>0</v>
      </c>
      <c r="AJ38" s="13">
        <f ca="1">'TUSD BE'!$AJ$38*'TUSD BE'!$AJ$58</f>
        <v>0</v>
      </c>
      <c r="AK38" s="13">
        <f ca="1">'TUSD BE'!$AK$38*'TUSD BE'!$AK$58</f>
        <v>0</v>
      </c>
      <c r="AL38" s="13">
        <f ca="1">SUM($AH$38:$AK$38)</f>
        <v>-0.61774365023605504</v>
      </c>
      <c r="AM38" s="13">
        <f ca="1">SUMIF($L$4:$AL$4,"SUBTOTAL",$L$38:$AL$38)</f>
        <v>-946.3442265081635</v>
      </c>
      <c r="AO38" s="26">
        <f ca="1">+'TUSD BE'!$T$38+'TUSD BE'!$AB$38+'TUSD BE'!$AD$38+'TUSD BE'!$AL$38</f>
        <v>2090.3841339881624</v>
      </c>
      <c r="AP38" s="26">
        <f ca="1">+'TUSD BE'!$T$38+'TUSD BE'!$AB$38+'TUSD BE'!$AD$38+'TUSD BE'!$AL$38</f>
        <v>2090.3841339881624</v>
      </c>
    </row>
    <row r="39" spans="1:42" ht="11.25" customHeight="1" x14ac:dyDescent="0.25">
      <c r="A39" s="103"/>
      <c r="B39" s="103"/>
      <c r="C39" s="103"/>
      <c r="D39" s="103"/>
      <c r="E39" s="103"/>
      <c r="F39" s="103"/>
      <c r="G39" s="24" t="s">
        <v>74</v>
      </c>
      <c r="H39" s="24" t="s">
        <v>60</v>
      </c>
      <c r="I39" s="24">
        <f>'MERCADO TUSD'!$U$36</f>
        <v>0</v>
      </c>
      <c r="J39" s="15"/>
      <c r="L39" s="13">
        <f>'TUSD BE'!$L$39*'TUSD BE'!$L$58</f>
        <v>-0.69865599538260181</v>
      </c>
      <c r="M39" s="13">
        <f>'TUSD BE'!$M$39*'TUSD BE'!$M$58</f>
        <v>-6.6009867887828186E-2</v>
      </c>
      <c r="N39" s="13">
        <f ca="1">'TUSD BE'!$N$39*'TUSD BE'!$N$58</f>
        <v>0</v>
      </c>
      <c r="O39" s="13">
        <f>'TUSD BE'!$O$39*'TUSD BE'!$O$58</f>
        <v>0</v>
      </c>
      <c r="P39" s="13">
        <f>'TUSD BE'!$P$39*'TUSD BE'!$P$58</f>
        <v>0</v>
      </c>
      <c r="Q39" s="13">
        <f>'TUSD BE'!$Q$39*'TUSD BE'!$Q$58</f>
        <v>-1.3122289916079237</v>
      </c>
      <c r="R39" s="13">
        <f>'TUSD BE'!$R$39*'TUSD BE'!$R$58</f>
        <v>-0.20295343846302683</v>
      </c>
      <c r="S39" s="13">
        <f>'TUSD BE'!$R$39*'TUSD BE'!$S$58</f>
        <v>0</v>
      </c>
      <c r="T39" s="13">
        <f ca="1">SUM($L$39:$S$39)</f>
        <v>-2.2798482933413804</v>
      </c>
      <c r="U39" s="13">
        <f>'TUSD BE'!$U$39*'TUSD BE'!$U$58</f>
        <v>0</v>
      </c>
      <c r="V39" s="13">
        <f>'TUSD BE'!$V$39*'TUSD BE'!$V$58</f>
        <v>0</v>
      </c>
      <c r="W39" s="13">
        <f>'TUSD BE'!$W$39*'TUSD BE'!$W$58</f>
        <v>0</v>
      </c>
      <c r="X39" s="13">
        <f>'TUSD BE'!$X$39*'TUSD BE'!$X$58</f>
        <v>0</v>
      </c>
      <c r="Y39" s="13">
        <f>'TUSD BE'!$Y$39*'TUSD BE'!$Y$58</f>
        <v>-4.9398316933256323</v>
      </c>
      <c r="Z39" s="13">
        <f>'TUSD BE'!$Z$39*'TUSD BE'!$Z$58</f>
        <v>0</v>
      </c>
      <c r="AA39" s="13">
        <f>'TUSD BE'!$AA$39*'TUSD BE'!$AA$58</f>
        <v>0</v>
      </c>
      <c r="AB39" s="13">
        <f>SUM($U$39:$AA$39)</f>
        <v>-4.9398316933256323</v>
      </c>
      <c r="AC39" s="13">
        <f>'TUSD BE'!$AC$39*'TUSD BE'!$AC$58</f>
        <v>-561.12739952942377</v>
      </c>
      <c r="AD39" s="13">
        <f>SUM($AC$39:$AC$39)</f>
        <v>-561.12739952942377</v>
      </c>
      <c r="AE39" s="13">
        <f ca="1">$AO$39*$AO$55</f>
        <v>0</v>
      </c>
      <c r="AF39" s="13">
        <f ca="1">$AP$39*$AP$55</f>
        <v>0</v>
      </c>
      <c r="AG39" s="13">
        <f ca="1">SUM($AE$39:$AF$39)</f>
        <v>0</v>
      </c>
      <c r="AH39" s="13">
        <f>'TUSD BE'!$AH$39*'TUSD BE'!$AH$58</f>
        <v>-0.61774365023605504</v>
      </c>
      <c r="AI39" s="13">
        <f>'TUSD BE'!$AI$39*'TUSD BE'!$AI$58</f>
        <v>0</v>
      </c>
      <c r="AJ39" s="13">
        <f ca="1">'TUSD BE'!$AJ$39*'TUSD BE'!$AJ$58</f>
        <v>0</v>
      </c>
      <c r="AK39" s="13">
        <f ca="1">'TUSD BE'!$AK$39*'TUSD BE'!$AK$58</f>
        <v>0</v>
      </c>
      <c r="AL39" s="13">
        <f ca="1">SUM($AH$39:$AK$39)</f>
        <v>-0.61774365023605504</v>
      </c>
      <c r="AM39" s="13">
        <f ca="1">SUMIF($L$4:$AL$4,"SUBTOTAL",$L$39:$AL$39)</f>
        <v>-568.96482316632682</v>
      </c>
      <c r="AO39" s="26">
        <f ca="1">+'TUSD BE'!$T$39+'TUSD BE'!$AB$39+'TUSD BE'!$AD$39+'TUSD BE'!$AL$39</f>
        <v>1314.834588631162</v>
      </c>
      <c r="AP39" s="26">
        <f ca="1">+'TUSD BE'!$T$39+'TUSD BE'!$AB$39+'TUSD BE'!$AD$39+'TUSD BE'!$AL$39</f>
        <v>1314.834588631162</v>
      </c>
    </row>
    <row r="40" spans="1:42" ht="11.25" customHeight="1" x14ac:dyDescent="0.25">
      <c r="A40" s="103"/>
      <c r="B40" s="103"/>
      <c r="C40" s="103"/>
      <c r="D40" s="103"/>
      <c r="E40" s="103"/>
      <c r="F40" s="103"/>
      <c r="G40" s="24" t="s">
        <v>62</v>
      </c>
      <c r="H40" s="24" t="s">
        <v>60</v>
      </c>
      <c r="I40" s="24">
        <f>'MERCADO TUSD'!$U$37</f>
        <v>0</v>
      </c>
      <c r="J40" s="15"/>
      <c r="L40" s="13">
        <f>'TUSD BE'!$L$40*'TUSD BE'!$L$58</f>
        <v>-0.69865599538260181</v>
      </c>
      <c r="M40" s="13">
        <f>'TUSD BE'!$M$40*'TUSD BE'!$M$58</f>
        <v>-6.6009867887828186E-2</v>
      </c>
      <c r="N40" s="13">
        <f ca="1">'TUSD BE'!$N$40*'TUSD BE'!$N$58</f>
        <v>0</v>
      </c>
      <c r="O40" s="13">
        <f>'TUSD BE'!$O$40*'TUSD BE'!$O$58</f>
        <v>0</v>
      </c>
      <c r="P40" s="13">
        <f>'TUSD BE'!$P$40*'TUSD BE'!$P$58</f>
        <v>0</v>
      </c>
      <c r="Q40" s="13">
        <f>'TUSD BE'!$Q$40*'TUSD BE'!$Q$58</f>
        <v>-1.3122289916079237</v>
      </c>
      <c r="R40" s="13">
        <f>'TUSD BE'!$R$40*'TUSD BE'!$R$58</f>
        <v>-0.20295343846302683</v>
      </c>
      <c r="S40" s="13">
        <f>'TUSD BE'!$R$40*'TUSD BE'!$S$58</f>
        <v>0</v>
      </c>
      <c r="T40" s="13">
        <f ca="1">SUM($L$40:$S$40)</f>
        <v>-2.2798482933413804</v>
      </c>
      <c r="U40" s="13">
        <f>'TUSD BE'!$U$40*'TUSD BE'!$U$58</f>
        <v>0</v>
      </c>
      <c r="V40" s="13">
        <f>'TUSD BE'!$V$40*'TUSD BE'!$V$58</f>
        <v>0</v>
      </c>
      <c r="W40" s="13">
        <f>'TUSD BE'!$W$40*'TUSD BE'!$W$58</f>
        <v>0</v>
      </c>
      <c r="X40" s="13">
        <f>'TUSD BE'!$X$40*'TUSD BE'!$X$58</f>
        <v>0</v>
      </c>
      <c r="Y40" s="13">
        <f>'TUSD BE'!$Y$40*'TUSD BE'!$Y$58</f>
        <v>-1.6456915821787252</v>
      </c>
      <c r="Z40" s="13">
        <f>'TUSD BE'!$Z$40*'TUSD BE'!$Z$58</f>
        <v>0</v>
      </c>
      <c r="AA40" s="13">
        <f>'TUSD BE'!$AA$40*'TUSD BE'!$AA$58</f>
        <v>0</v>
      </c>
      <c r="AB40" s="13">
        <f>SUM($U$40:$AA$40)</f>
        <v>-1.6456915821787252</v>
      </c>
      <c r="AC40" s="13">
        <f>'TUSD BE'!$AC$40*'TUSD BE'!$AC$58</f>
        <v>-187.04249024175252</v>
      </c>
      <c r="AD40" s="13">
        <f>SUM($AC$40:$AC$40)</f>
        <v>-187.04249024175252</v>
      </c>
      <c r="AE40" s="13">
        <f ca="1">$AO$40*$AO$55</f>
        <v>0</v>
      </c>
      <c r="AF40" s="13">
        <f ca="1">$AP$40*$AP$55</f>
        <v>0</v>
      </c>
      <c r="AG40" s="13">
        <f ca="1">SUM($AE$40:$AF$40)</f>
        <v>0</v>
      </c>
      <c r="AH40" s="13">
        <f>'TUSD BE'!$AH$40*'TUSD BE'!$AH$58</f>
        <v>-0.61774365023605504</v>
      </c>
      <c r="AI40" s="13">
        <f>'TUSD BE'!$AI$40*'TUSD BE'!$AI$58</f>
        <v>0</v>
      </c>
      <c r="AJ40" s="13">
        <f ca="1">'TUSD BE'!$AJ$40*'TUSD BE'!$AJ$58</f>
        <v>0</v>
      </c>
      <c r="AK40" s="13">
        <f ca="1">'TUSD BE'!$AK$40*'TUSD BE'!$AK$58</f>
        <v>0</v>
      </c>
      <c r="AL40" s="13">
        <f ca="1">SUM($AH$40:$AK$40)</f>
        <v>-0.61774365023605504</v>
      </c>
      <c r="AM40" s="13">
        <f ca="1">SUMIF($L$4:$AL$4,"SUBTOTAL",$L$40:$AL$40)</f>
        <v>-191.5857737675087</v>
      </c>
      <c r="AO40" s="26">
        <f ca="1">+'TUSD BE'!$T$40+'TUSD BE'!$AB$40+'TUSD BE'!$AD$40+'TUSD BE'!$AL$40</f>
        <v>539.2854855679243</v>
      </c>
      <c r="AP40" s="26">
        <f ca="1">+'TUSD BE'!$T$40+'TUSD BE'!$AB$40+'TUSD BE'!$AD$40+'TUSD BE'!$AL$40</f>
        <v>539.2854855679243</v>
      </c>
    </row>
    <row r="41" spans="1:42" ht="11.25" customHeight="1" x14ac:dyDescent="0.25">
      <c r="A41" s="103"/>
      <c r="B41" s="23" t="s">
        <v>23</v>
      </c>
      <c r="C41" s="23" t="s">
        <v>32</v>
      </c>
      <c r="D41" s="23" t="s">
        <v>80</v>
      </c>
      <c r="E41" s="23" t="s">
        <v>25</v>
      </c>
      <c r="F41" s="23" t="s">
        <v>25</v>
      </c>
      <c r="G41" s="24" t="s">
        <v>67</v>
      </c>
      <c r="H41" s="24" t="s">
        <v>60</v>
      </c>
      <c r="I41" s="24">
        <f>'MERCADO TUSD'!$U$38</f>
        <v>0</v>
      </c>
      <c r="J41" s="15"/>
      <c r="L41" s="13">
        <f>'TUSD BE'!$L$41*'TUSD BE'!$L$58</f>
        <v>-0.69865599538260181</v>
      </c>
      <c r="M41" s="13">
        <f>'TUSD BE'!$M$41*'TUSD BE'!$M$58</f>
        <v>-6.6009867887828186E-2</v>
      </c>
      <c r="N41" s="13">
        <f ca="1">'TUSD BE'!$N$41*'TUSD BE'!$N$58</f>
        <v>0</v>
      </c>
      <c r="O41" s="13">
        <f>'TUSD BE'!$O$41*'TUSD BE'!$O$58</f>
        <v>0</v>
      </c>
      <c r="P41" s="13">
        <f>'TUSD BE'!$P$41*'TUSD BE'!$P$58</f>
        <v>0</v>
      </c>
      <c r="Q41" s="13">
        <f>'TUSD BE'!$Q$41*'TUSD BE'!$Q$58</f>
        <v>-1.3122289916079237</v>
      </c>
      <c r="R41" s="13">
        <f>'TUSD BE'!$R$41*'TUSD BE'!$R$58</f>
        <v>-0.20295343846302683</v>
      </c>
      <c r="S41" s="13">
        <f>'TUSD BE'!$R$41*'TUSD BE'!$S$58</f>
        <v>0</v>
      </c>
      <c r="T41" s="13">
        <f ca="1">SUM($L$41:$S$41)</f>
        <v>-2.2798482933413804</v>
      </c>
      <c r="U41" s="13">
        <f>'TUSD BE'!$U$41*'TUSD BE'!$U$58</f>
        <v>0</v>
      </c>
      <c r="V41" s="13">
        <f>'TUSD BE'!$V$41*'TUSD BE'!$V$58</f>
        <v>0</v>
      </c>
      <c r="W41" s="13">
        <f>'TUSD BE'!$W$41*'TUSD BE'!$W$58</f>
        <v>0</v>
      </c>
      <c r="X41" s="13">
        <f>'TUSD BE'!$X$41*'TUSD BE'!$X$58</f>
        <v>0</v>
      </c>
      <c r="Y41" s="13">
        <f>'TUSD BE'!$Y$41*'TUSD BE'!$Y$58</f>
        <v>-2.7910604427139765</v>
      </c>
      <c r="Z41" s="13">
        <f>'TUSD BE'!$Z$41*'TUSD BE'!$Z$58</f>
        <v>0</v>
      </c>
      <c r="AA41" s="13">
        <f>'TUSD BE'!$AA$41*'TUSD BE'!$AA$58</f>
        <v>0</v>
      </c>
      <c r="AB41" s="13">
        <f>SUM($U$41:$AA$41)</f>
        <v>-2.7910604427139765</v>
      </c>
      <c r="AC41" s="13">
        <f>'TUSD BE'!$AC$41*'TUSD BE'!$AC$58</f>
        <v>-317.02123506356378</v>
      </c>
      <c r="AD41" s="13">
        <f>SUM($AC$41:$AC$41)</f>
        <v>-317.02123506356378</v>
      </c>
      <c r="AE41" s="13">
        <f ca="1">$AO$41*$AO$55</f>
        <v>0</v>
      </c>
      <c r="AF41" s="13">
        <f ca="1">$AP$41*$AP$55</f>
        <v>0</v>
      </c>
      <c r="AG41" s="13">
        <f ca="1">SUM($AE$41:$AF$41)</f>
        <v>0</v>
      </c>
      <c r="AH41" s="13">
        <f>'TUSD BE'!$AH$41*'TUSD BE'!$AH$58</f>
        <v>-0.61774365023605504</v>
      </c>
      <c r="AI41" s="13">
        <f>'TUSD BE'!$AI$41*'TUSD BE'!$AI$58</f>
        <v>0</v>
      </c>
      <c r="AJ41" s="13">
        <f ca="1">'TUSD BE'!$AJ$41*'TUSD BE'!$AJ$58</f>
        <v>0</v>
      </c>
      <c r="AK41" s="13">
        <f ca="1">'TUSD BE'!$AK$41*'TUSD BE'!$AK$58</f>
        <v>0</v>
      </c>
      <c r="AL41" s="13">
        <f ca="1">SUM($AH$41:$AK$41)</f>
        <v>-0.61774365023605504</v>
      </c>
      <c r="AM41" s="13">
        <f ca="1">SUMIF($L$4:$AL$4,"SUBTOTAL",$L$41:$AL$41)</f>
        <v>-322.70988744985516</v>
      </c>
      <c r="AO41" s="26">
        <f ca="1">+'TUSD BE'!$T$41+'TUSD BE'!$AB$41+'TUSD BE'!$AD$41+'TUSD BE'!$AL$41</f>
        <v>808.80152935754006</v>
      </c>
      <c r="AP41" s="26">
        <f ca="1">+'TUSD BE'!$T$41+'TUSD BE'!$AB$41+'TUSD BE'!$AD$41+'TUSD BE'!$AL$41</f>
        <v>808.80152935754006</v>
      </c>
    </row>
    <row r="42" spans="1:42" ht="11.25" customHeight="1" x14ac:dyDescent="0.25">
      <c r="A42" s="103"/>
      <c r="B42" s="103" t="s">
        <v>78</v>
      </c>
      <c r="C42" s="103" t="s">
        <v>32</v>
      </c>
      <c r="D42" s="23" t="s">
        <v>25</v>
      </c>
      <c r="E42" s="23" t="s">
        <v>25</v>
      </c>
      <c r="F42" s="23" t="s">
        <v>25</v>
      </c>
      <c r="G42" s="24" t="s">
        <v>67</v>
      </c>
      <c r="H42" s="24" t="s">
        <v>60</v>
      </c>
      <c r="I42" s="24">
        <f>'MERCADO TUSD'!$U$39</f>
        <v>0</v>
      </c>
      <c r="J42" s="15"/>
      <c r="L42" s="13">
        <f>'TUSD BE'!$L$42*'TUSD BE'!$L$58</f>
        <v>-0.69865599538260181</v>
      </c>
      <c r="M42" s="13">
        <f>'TUSD BE'!$M$42*'TUSD BE'!$M$58</f>
        <v>-6.6009867887828186E-2</v>
      </c>
      <c r="N42" s="13">
        <f ca="1">'TUSD BE'!$N$42*'TUSD BE'!$N$58</f>
        <v>0</v>
      </c>
      <c r="O42" s="13">
        <f>'TUSD BE'!$O$42*'TUSD BE'!$O$58</f>
        <v>0</v>
      </c>
      <c r="P42" s="13">
        <f>'TUSD BE'!$P$42*'TUSD BE'!$P$58</f>
        <v>0</v>
      </c>
      <c r="Q42" s="13">
        <f>'TUSD BE'!$Q$42*'TUSD BE'!$Q$58</f>
        <v>-1.3122289916079237</v>
      </c>
      <c r="R42" s="13">
        <f>'TUSD BE'!$R$42*'TUSD BE'!$R$58</f>
        <v>-0.20295343846302683</v>
      </c>
      <c r="S42" s="13">
        <f>'TUSD BE'!$R$42*'TUSD BE'!$S$58</f>
        <v>0</v>
      </c>
      <c r="T42" s="13">
        <f ca="1">SUM($L$42:$S$42)</f>
        <v>-2.2798482933413804</v>
      </c>
      <c r="U42" s="13">
        <f>'TUSD BE'!$U$42*'TUSD BE'!$U$58</f>
        <v>0</v>
      </c>
      <c r="V42" s="13">
        <f>'TUSD BE'!$V$42*'TUSD BE'!$V$58</f>
        <v>0</v>
      </c>
      <c r="W42" s="13">
        <f>'TUSD BE'!$W$42*'TUSD BE'!$W$58</f>
        <v>0</v>
      </c>
      <c r="X42" s="13">
        <f>'TUSD BE'!$X$42*'TUSD BE'!$X$58</f>
        <v>0</v>
      </c>
      <c r="Y42" s="13">
        <f>'TUSD BE'!$Y$42*'TUSD BE'!$Y$58</f>
        <v>-2.7910604427139765</v>
      </c>
      <c r="Z42" s="13">
        <f>'TUSD BE'!$Z$42*'TUSD BE'!$Z$58</f>
        <v>0</v>
      </c>
      <c r="AA42" s="13">
        <f>'TUSD BE'!$AA$42*'TUSD BE'!$AA$58</f>
        <v>0</v>
      </c>
      <c r="AB42" s="13">
        <f>SUM($U$42:$AA$42)</f>
        <v>-2.7910604427139765</v>
      </c>
      <c r="AC42" s="13">
        <f>'TUSD BE'!$AC$42*'TUSD BE'!$AC$58</f>
        <v>-317.02123506356378</v>
      </c>
      <c r="AD42" s="13">
        <f>SUM($AC$42:$AC$42)</f>
        <v>-317.02123506356378</v>
      </c>
      <c r="AE42" s="13">
        <f ca="1">$AO$42*$AO$55</f>
        <v>0</v>
      </c>
      <c r="AF42" s="13">
        <f ca="1">$AP$42*$AP$55</f>
        <v>0</v>
      </c>
      <c r="AG42" s="13">
        <f ca="1">SUM($AE$42:$AF$42)</f>
        <v>0</v>
      </c>
      <c r="AH42" s="13">
        <f>'TUSD BE'!$AH$42*'TUSD BE'!$AH$58</f>
        <v>-0.61774365023605504</v>
      </c>
      <c r="AI42" s="13">
        <f>'TUSD BE'!$AI$42*'TUSD BE'!$AI$58</f>
        <v>0</v>
      </c>
      <c r="AJ42" s="13">
        <f ca="1">'TUSD BE'!$AJ$42*'TUSD BE'!$AJ$58</f>
        <v>0</v>
      </c>
      <c r="AK42" s="13">
        <f ca="1">'TUSD BE'!$AK$42*'TUSD BE'!$AK$58</f>
        <v>0</v>
      </c>
      <c r="AL42" s="13">
        <f ca="1">SUM($AH$42:$AK$42)</f>
        <v>-0.61774365023605504</v>
      </c>
      <c r="AM42" s="13">
        <f ca="1">SUMIF($L$4:$AL$4,"SUBTOTAL",$L$42:$AL$42)</f>
        <v>-322.70988744985516</v>
      </c>
      <c r="AO42" s="26">
        <f ca="1">+'TUSD BE'!$T$42+'TUSD BE'!$AB$42+'TUSD BE'!$AD$42+'TUSD BE'!$AL$42</f>
        <v>808.80152935754006</v>
      </c>
      <c r="AP42" s="26">
        <f ca="1">+'TUSD BE'!$T$42+'TUSD BE'!$AB$42+'TUSD BE'!$AD$42+'TUSD BE'!$AL$42</f>
        <v>808.80152935754006</v>
      </c>
    </row>
    <row r="43" spans="1:42" ht="11.25" customHeight="1" x14ac:dyDescent="0.25">
      <c r="A43" s="103"/>
      <c r="B43" s="103"/>
      <c r="C43" s="103"/>
      <c r="D43" s="23" t="s">
        <v>79</v>
      </c>
      <c r="E43" s="23" t="s">
        <v>25</v>
      </c>
      <c r="F43" s="23" t="s">
        <v>25</v>
      </c>
      <c r="G43" s="24" t="s">
        <v>67</v>
      </c>
      <c r="H43" s="24" t="s">
        <v>60</v>
      </c>
      <c r="I43" s="24">
        <f>'MERCADO TUSD'!$U$40</f>
        <v>0</v>
      </c>
      <c r="J43" s="15"/>
      <c r="L43" s="13">
        <f>'TUSD BE'!$L$43*'TUSD BE'!$L$58</f>
        <v>-0.69865599538260181</v>
      </c>
      <c r="M43" s="13">
        <f>'TUSD BE'!$M$43*'TUSD BE'!$M$58</f>
        <v>-6.6009867887828186E-2</v>
      </c>
      <c r="N43" s="13">
        <f ca="1">'TUSD BE'!$N$43*'TUSD BE'!$N$58</f>
        <v>0</v>
      </c>
      <c r="O43" s="13">
        <f>'TUSD BE'!$O$43*'TUSD BE'!$O$58</f>
        <v>0</v>
      </c>
      <c r="P43" s="13">
        <f>'TUSD BE'!$P$43*'TUSD BE'!$P$58</f>
        <v>0</v>
      </c>
      <c r="Q43" s="13">
        <f>'TUSD BE'!$Q$43*'TUSD BE'!$Q$58</f>
        <v>-1.3122289916079237</v>
      </c>
      <c r="R43" s="13">
        <f>'TUSD BE'!$R$43*'TUSD BE'!$R$58</f>
        <v>-0.20295343846302683</v>
      </c>
      <c r="S43" s="13">
        <f>'TUSD BE'!$R$43*'TUSD BE'!$S$58</f>
        <v>0</v>
      </c>
      <c r="T43" s="13">
        <f ca="1">SUM($L$43:$S$43)</f>
        <v>-2.2798482933413804</v>
      </c>
      <c r="U43" s="13">
        <f>'TUSD BE'!$U$43*'TUSD BE'!$U$58</f>
        <v>0</v>
      </c>
      <c r="V43" s="13">
        <f>'TUSD BE'!$V$43*'TUSD BE'!$V$58</f>
        <v>0</v>
      </c>
      <c r="W43" s="13">
        <f>'TUSD BE'!$W$43*'TUSD BE'!$W$58</f>
        <v>0</v>
      </c>
      <c r="X43" s="13">
        <f>'TUSD BE'!$X$43*'TUSD BE'!$X$58</f>
        <v>0</v>
      </c>
      <c r="Y43" s="13">
        <f>'TUSD BE'!$Y$43*'TUSD BE'!$Y$58</f>
        <v>-2.7910604427139765</v>
      </c>
      <c r="Z43" s="13">
        <f>'TUSD BE'!$Z$43*'TUSD BE'!$Z$58</f>
        <v>0</v>
      </c>
      <c r="AA43" s="13">
        <f>'TUSD BE'!$AA$43*'TUSD BE'!$AA$58</f>
        <v>0</v>
      </c>
      <c r="AB43" s="13">
        <f>SUM($U$43:$AA$43)</f>
        <v>-2.7910604427139765</v>
      </c>
      <c r="AC43" s="13">
        <f>'TUSD BE'!$AC$43*'TUSD BE'!$AC$58</f>
        <v>-317.02123506356378</v>
      </c>
      <c r="AD43" s="13">
        <f>SUM($AC$43:$AC$43)</f>
        <v>-317.02123506356378</v>
      </c>
      <c r="AE43" s="13">
        <f ca="1">$AO$43*$AO$55</f>
        <v>0</v>
      </c>
      <c r="AF43" s="13">
        <f ca="1">$AP$43*$AP$55</f>
        <v>0</v>
      </c>
      <c r="AG43" s="13">
        <f ca="1">SUM($AE$43:$AF$43)</f>
        <v>0</v>
      </c>
      <c r="AH43" s="13">
        <f>'TUSD BE'!$AH$43*'TUSD BE'!$AH$58</f>
        <v>-0.61774365023605504</v>
      </c>
      <c r="AI43" s="13">
        <f>'TUSD BE'!$AI$43*'TUSD BE'!$AI$58</f>
        <v>0</v>
      </c>
      <c r="AJ43" s="13">
        <f ca="1">'TUSD BE'!$AJ$43*'TUSD BE'!$AJ$58</f>
        <v>0</v>
      </c>
      <c r="AK43" s="13">
        <f ca="1">'TUSD BE'!$AK$43*'TUSD BE'!$AK$58</f>
        <v>0</v>
      </c>
      <c r="AL43" s="13">
        <f ca="1">SUM($AH$43:$AK$43)</f>
        <v>-0.61774365023605504</v>
      </c>
      <c r="AM43" s="13">
        <f ca="1">SUMIF($L$4:$AL$4,"SUBTOTAL",$L$43:$AL$43)</f>
        <v>-322.70988744985516</v>
      </c>
      <c r="AO43" s="26">
        <f ca="1">+'TUSD BE'!$T$43+'TUSD BE'!$AB$43+'TUSD BE'!$AD$43+'TUSD BE'!$AL$43</f>
        <v>808.80152935754006</v>
      </c>
      <c r="AP43" s="26">
        <f ca="1">+'TUSD BE'!$T$43+'TUSD BE'!$AB$43+'TUSD BE'!$AD$43+'TUSD BE'!$AL$43</f>
        <v>808.80152935754006</v>
      </c>
    </row>
    <row r="44" spans="1:42" ht="11.25" customHeight="1" x14ac:dyDescent="0.25">
      <c r="A44" s="103"/>
      <c r="B44" s="103"/>
      <c r="C44" s="103"/>
      <c r="D44" s="23" t="s">
        <v>80</v>
      </c>
      <c r="E44" s="23" t="s">
        <v>25</v>
      </c>
      <c r="F44" s="23" t="s">
        <v>25</v>
      </c>
      <c r="G44" s="24" t="s">
        <v>67</v>
      </c>
      <c r="H44" s="24" t="s">
        <v>60</v>
      </c>
      <c r="I44" s="24">
        <f>'MERCADO TUSD'!$U$41</f>
        <v>0</v>
      </c>
      <c r="J44" s="15"/>
      <c r="L44" s="13">
        <f>'TUSD BE'!$L$44*'TUSD BE'!$L$58</f>
        <v>-0.69865599538260181</v>
      </c>
      <c r="M44" s="13">
        <f>'TUSD BE'!$M$44*'TUSD BE'!$M$58</f>
        <v>-6.6009867887828186E-2</v>
      </c>
      <c r="N44" s="13">
        <f ca="1">'TUSD BE'!$N$44*'TUSD BE'!$N$58</f>
        <v>0</v>
      </c>
      <c r="O44" s="13">
        <f>'TUSD BE'!$O$44*'TUSD BE'!$O$58</f>
        <v>0</v>
      </c>
      <c r="P44" s="13">
        <f>'TUSD BE'!$P$44*'TUSD BE'!$P$58</f>
        <v>0</v>
      </c>
      <c r="Q44" s="13">
        <f>'TUSD BE'!$Q$44*'TUSD BE'!$Q$58</f>
        <v>-1.3122289916079237</v>
      </c>
      <c r="R44" s="13">
        <f>'TUSD BE'!$R$44*'TUSD BE'!$R$58</f>
        <v>-0.20295343846302683</v>
      </c>
      <c r="S44" s="13">
        <f>'TUSD BE'!$R$44*'TUSD BE'!$S$58</f>
        <v>0</v>
      </c>
      <c r="T44" s="13">
        <f ca="1">SUM($L$44:$S$44)</f>
        <v>-2.2798482933413804</v>
      </c>
      <c r="U44" s="13">
        <f>'TUSD BE'!$U$44*'TUSD BE'!$U$58</f>
        <v>0</v>
      </c>
      <c r="V44" s="13">
        <f>'TUSD BE'!$V$44*'TUSD BE'!$V$58</f>
        <v>0</v>
      </c>
      <c r="W44" s="13">
        <f>'TUSD BE'!$W$44*'TUSD BE'!$W$58</f>
        <v>0</v>
      </c>
      <c r="X44" s="13">
        <f>'TUSD BE'!$X$44*'TUSD BE'!$X$58</f>
        <v>0</v>
      </c>
      <c r="Y44" s="13">
        <f>'TUSD BE'!$Y$44*'TUSD BE'!$Y$58</f>
        <v>-2.7910604427139765</v>
      </c>
      <c r="Z44" s="13">
        <f>'TUSD BE'!$Z$44*'TUSD BE'!$Z$58</f>
        <v>0</v>
      </c>
      <c r="AA44" s="13">
        <f>'TUSD BE'!$AA$44*'TUSD BE'!$AA$58</f>
        <v>0</v>
      </c>
      <c r="AB44" s="13">
        <f>SUM($U$44:$AA$44)</f>
        <v>-2.7910604427139765</v>
      </c>
      <c r="AC44" s="13">
        <f>'TUSD BE'!$AC$44*'TUSD BE'!$AC$58</f>
        <v>-317.02123506356378</v>
      </c>
      <c r="AD44" s="13">
        <f>SUM($AC$44:$AC$44)</f>
        <v>-317.02123506356378</v>
      </c>
      <c r="AE44" s="13">
        <f ca="1">$AO$44*$AO$55</f>
        <v>0</v>
      </c>
      <c r="AF44" s="13">
        <f ca="1">$AP$44*$AP$55</f>
        <v>0</v>
      </c>
      <c r="AG44" s="13">
        <f ca="1">SUM($AE$44:$AF$44)</f>
        <v>0</v>
      </c>
      <c r="AH44" s="13">
        <f>'TUSD BE'!$AH$44*'TUSD BE'!$AH$58</f>
        <v>-0.61774365023605504</v>
      </c>
      <c r="AI44" s="13">
        <f>'TUSD BE'!$AI$44*'TUSD BE'!$AI$58</f>
        <v>0</v>
      </c>
      <c r="AJ44" s="13">
        <f ca="1">'TUSD BE'!$AJ$44*'TUSD BE'!$AJ$58</f>
        <v>0</v>
      </c>
      <c r="AK44" s="13">
        <f ca="1">'TUSD BE'!$AK$44*'TUSD BE'!$AK$58</f>
        <v>0</v>
      </c>
      <c r="AL44" s="13">
        <f ca="1">SUM($AH$44:$AK$44)</f>
        <v>-0.61774365023605504</v>
      </c>
      <c r="AM44" s="13">
        <f ca="1">SUMIF($L$4:$AL$4,"SUBTOTAL",$L$44:$AL$44)</f>
        <v>-322.70988744985516</v>
      </c>
      <c r="AO44" s="26">
        <f ca="1">+'TUSD BE'!$T$44+'TUSD BE'!$AB$44+'TUSD BE'!$AD$44+'TUSD BE'!$AL$44</f>
        <v>808.80152935754006</v>
      </c>
      <c r="AP44" s="26">
        <f ca="1">+'TUSD BE'!$T$44+'TUSD BE'!$AB$44+'TUSD BE'!$AD$44+'TUSD BE'!$AL$44</f>
        <v>808.80152935754006</v>
      </c>
    </row>
    <row r="45" spans="1:42" ht="11.25" customHeight="1" x14ac:dyDescent="0.25">
      <c r="A45" s="103" t="s">
        <v>28</v>
      </c>
      <c r="B45" s="103" t="s">
        <v>76</v>
      </c>
      <c r="C45" s="103" t="s">
        <v>25</v>
      </c>
      <c r="D45" s="103" t="s">
        <v>25</v>
      </c>
      <c r="E45" s="103" t="s">
        <v>25</v>
      </c>
      <c r="F45" s="103" t="s">
        <v>25</v>
      </c>
      <c r="G45" s="24" t="s">
        <v>61</v>
      </c>
      <c r="H45" s="24" t="s">
        <v>60</v>
      </c>
      <c r="I45" s="24">
        <f>'MERCADO TUSD'!$U$42</f>
        <v>0</v>
      </c>
      <c r="J45" s="15"/>
      <c r="L45" s="13">
        <f>'TUSD BE'!$L$45*'TUSD BE'!$L$58</f>
        <v>-0.69865599538260181</v>
      </c>
      <c r="M45" s="13">
        <f>'TUSD BE'!$M$45*'TUSD BE'!$M$58</f>
        <v>-6.6009867887828186E-2</v>
      </c>
      <c r="N45" s="13">
        <f ca="1">'TUSD BE'!$N$45*'TUSD BE'!$N$58</f>
        <v>0</v>
      </c>
      <c r="O45" s="13">
        <f>'TUSD BE'!$O$45*'TUSD BE'!$O$58</f>
        <v>0</v>
      </c>
      <c r="P45" s="13">
        <f>'TUSD BE'!$P$45*'TUSD BE'!$P$58</f>
        <v>0</v>
      </c>
      <c r="Q45" s="13">
        <f>'TUSD BE'!$Q$45*'TUSD BE'!$Q$58</f>
        <v>-1.3122289916079237</v>
      </c>
      <c r="R45" s="13">
        <f>'TUSD BE'!$R$45*'TUSD BE'!$R$58</f>
        <v>-0.20295343846302683</v>
      </c>
      <c r="S45" s="13">
        <f>'TUSD BE'!$R$45*'TUSD BE'!$S$58</f>
        <v>0</v>
      </c>
      <c r="T45" s="13">
        <f ca="1">SUM($L$45:$S$45)</f>
        <v>-2.2798482933413804</v>
      </c>
      <c r="U45" s="13">
        <f>'TUSD BE'!$U$45*'TUSD BE'!$U$58</f>
        <v>0</v>
      </c>
      <c r="V45" s="13">
        <f>'TUSD BE'!$V$45*'TUSD BE'!$V$58</f>
        <v>0</v>
      </c>
      <c r="W45" s="13">
        <f>'TUSD BE'!$W$45*'TUSD BE'!$W$58</f>
        <v>0</v>
      </c>
      <c r="X45" s="13">
        <f>'TUSD BE'!$X$45*'TUSD BE'!$X$58</f>
        <v>0</v>
      </c>
      <c r="Y45" s="13">
        <f>'TUSD BE'!$Y$45*'TUSD BE'!$Y$58</f>
        <v>-9.6315687178467346</v>
      </c>
      <c r="Z45" s="13">
        <f>'TUSD BE'!$Z$45*'TUSD BE'!$Z$58</f>
        <v>0</v>
      </c>
      <c r="AA45" s="13">
        <f>'TUSD BE'!$AA$45*'TUSD BE'!$AA$58</f>
        <v>0</v>
      </c>
      <c r="AB45" s="13">
        <f>SUM($U$45:$AA$45)</f>
        <v>-9.6315687178467346</v>
      </c>
      <c r="AC45" s="13">
        <f>'TUSD BE'!$AC$45*'TUSD BE'!$AC$58</f>
        <v>-1093.7229263488771</v>
      </c>
      <c r="AD45" s="13">
        <f>SUM($AC$45:$AC$45)</f>
        <v>-1093.7229263488771</v>
      </c>
      <c r="AE45" s="13">
        <f ca="1">$AO$45*$AO$55</f>
        <v>0</v>
      </c>
      <c r="AF45" s="13">
        <f ca="1">$AP$45*$AP$55</f>
        <v>0</v>
      </c>
      <c r="AG45" s="13">
        <f ca="1">SUM($AE$45:$AF$45)</f>
        <v>0</v>
      </c>
      <c r="AH45" s="13">
        <f>'TUSD BE'!$AH$45*'TUSD BE'!$AH$58</f>
        <v>-0.61774365023605504</v>
      </c>
      <c r="AI45" s="13">
        <f>'TUSD BE'!$AI$45*'TUSD BE'!$AI$58</f>
        <v>0</v>
      </c>
      <c r="AJ45" s="13">
        <f ca="1">'TUSD BE'!$AJ$45*'TUSD BE'!$AJ$58</f>
        <v>0</v>
      </c>
      <c r="AK45" s="13">
        <f ca="1">'TUSD BE'!$AK$45*'TUSD BE'!$AK$58</f>
        <v>0</v>
      </c>
      <c r="AL45" s="13">
        <f ca="1">SUM($AH$45:$AK$45)</f>
        <v>-0.61774365023605504</v>
      </c>
      <c r="AM45" s="13">
        <f ca="1">SUMIF($L$4:$AL$4,"SUBTOTAL",$L$45:$AL$45)</f>
        <v>-1106.2520870103012</v>
      </c>
      <c r="AO45" s="26">
        <f ca="1">+'TUSD BE'!$T$45+'TUSD BE'!$AB$45+'TUSD BE'!$AD$45+'TUSD BE'!$AL$45</f>
        <v>2419.1077933232259</v>
      </c>
      <c r="AP45" s="26">
        <f ca="1">+'TUSD BE'!$T$45+'TUSD BE'!$AB$45+'TUSD BE'!$AD$45+'TUSD BE'!$AL$45</f>
        <v>2419.1077933232259</v>
      </c>
    </row>
    <row r="46" spans="1:42" ht="11.25" customHeight="1" x14ac:dyDescent="0.25">
      <c r="A46" s="103"/>
      <c r="B46" s="103"/>
      <c r="C46" s="103"/>
      <c r="D46" s="103"/>
      <c r="E46" s="103"/>
      <c r="F46" s="103"/>
      <c r="G46" s="24" t="s">
        <v>74</v>
      </c>
      <c r="H46" s="24" t="s">
        <v>60</v>
      </c>
      <c r="I46" s="24">
        <f>'MERCADO TUSD'!$U$43</f>
        <v>0</v>
      </c>
      <c r="J46" s="15"/>
      <c r="L46" s="13">
        <f>'TUSD BE'!$L$46*'TUSD BE'!$L$58</f>
        <v>-0.69865599538260181</v>
      </c>
      <c r="M46" s="13">
        <f>'TUSD BE'!$M$46*'TUSD BE'!$M$58</f>
        <v>-6.6009867887828186E-2</v>
      </c>
      <c r="N46" s="13">
        <f ca="1">'TUSD BE'!$N$46*'TUSD BE'!$N$58</f>
        <v>0</v>
      </c>
      <c r="O46" s="13">
        <f>'TUSD BE'!$O$46*'TUSD BE'!$O$58</f>
        <v>0</v>
      </c>
      <c r="P46" s="13">
        <f>'TUSD BE'!$P$46*'TUSD BE'!$P$58</f>
        <v>0</v>
      </c>
      <c r="Q46" s="13">
        <f>'TUSD BE'!$Q$46*'TUSD BE'!$Q$58</f>
        <v>-1.3122289916079237</v>
      </c>
      <c r="R46" s="13">
        <f>'TUSD BE'!$R$46*'TUSD BE'!$R$58</f>
        <v>-0.20295343846302683</v>
      </c>
      <c r="S46" s="13">
        <f>'TUSD BE'!$R$46*'TUSD BE'!$S$58</f>
        <v>0</v>
      </c>
      <c r="T46" s="13">
        <f ca="1">SUM($L$46:$S$46)</f>
        <v>-2.2798482933413804</v>
      </c>
      <c r="U46" s="13">
        <f>'TUSD BE'!$U$46*'TUSD BE'!$U$58</f>
        <v>0</v>
      </c>
      <c r="V46" s="13">
        <f>'TUSD BE'!$V$46*'TUSD BE'!$V$58</f>
        <v>0</v>
      </c>
      <c r="W46" s="13">
        <f>'TUSD BE'!$W$46*'TUSD BE'!$W$58</f>
        <v>0</v>
      </c>
      <c r="X46" s="13">
        <f>'TUSD BE'!$X$46*'TUSD BE'!$X$58</f>
        <v>0</v>
      </c>
      <c r="Y46" s="13">
        <f>'TUSD BE'!$Y$46*'TUSD BE'!$Y$58</f>
        <v>-5.7778376375323504</v>
      </c>
      <c r="Z46" s="13">
        <f>'TUSD BE'!$Z$46*'TUSD BE'!$Z$58</f>
        <v>0</v>
      </c>
      <c r="AA46" s="13">
        <f>'TUSD BE'!$AA$46*'TUSD BE'!$AA$58</f>
        <v>0</v>
      </c>
      <c r="AB46" s="13">
        <f>SUM($U$46:$AA$46)</f>
        <v>-5.7778376375323504</v>
      </c>
      <c r="AC46" s="13">
        <f>'TUSD BE'!$AC$46*'TUSD BE'!$AC$58</f>
        <v>-656.23371309182608</v>
      </c>
      <c r="AD46" s="13">
        <f>SUM($AC$46:$AC$46)</f>
        <v>-656.23371309182608</v>
      </c>
      <c r="AE46" s="13">
        <f ca="1">$AO$46*$AO$55</f>
        <v>0</v>
      </c>
      <c r="AF46" s="13">
        <f ca="1">$AP$46*$AP$55</f>
        <v>0</v>
      </c>
      <c r="AG46" s="13">
        <f ca="1">SUM($AE$46:$AF$46)</f>
        <v>0</v>
      </c>
      <c r="AH46" s="13">
        <f>'TUSD BE'!$AH$46*'TUSD BE'!$AH$58</f>
        <v>-0.61774365023605504</v>
      </c>
      <c r="AI46" s="13">
        <f>'TUSD BE'!$AI$46*'TUSD BE'!$AI$58</f>
        <v>0</v>
      </c>
      <c r="AJ46" s="13">
        <f ca="1">'TUSD BE'!$AJ$46*'TUSD BE'!$AJ$58</f>
        <v>0</v>
      </c>
      <c r="AK46" s="13">
        <f ca="1">'TUSD BE'!$AK$46*'TUSD BE'!$AK$58</f>
        <v>0</v>
      </c>
      <c r="AL46" s="13">
        <f ca="1">SUM($AH$46:$AK$46)</f>
        <v>-0.61774365023605504</v>
      </c>
      <c r="AM46" s="13">
        <f ca="1">SUMIF($L$4:$AL$4,"SUBTOTAL",$L$46:$AL$46)</f>
        <v>-664.9091426729359</v>
      </c>
      <c r="AO46" s="26">
        <f ca="1">+'TUSD BE'!$T$46+'TUSD BE'!$AB$46+'TUSD BE'!$AD$46+'TUSD BE'!$AL$46</f>
        <v>1512.037379929666</v>
      </c>
      <c r="AP46" s="26">
        <f ca="1">+'TUSD BE'!$T$46+'TUSD BE'!$AB$46+'TUSD BE'!$AD$46+'TUSD BE'!$AL$46</f>
        <v>1512.037379929666</v>
      </c>
    </row>
    <row r="47" spans="1:42" ht="11.25" customHeight="1" x14ac:dyDescent="0.25">
      <c r="A47" s="103"/>
      <c r="B47" s="103"/>
      <c r="C47" s="103"/>
      <c r="D47" s="103"/>
      <c r="E47" s="103"/>
      <c r="F47" s="103"/>
      <c r="G47" s="24" t="s">
        <v>62</v>
      </c>
      <c r="H47" s="24" t="s">
        <v>60</v>
      </c>
      <c r="I47" s="24">
        <f>'MERCADO TUSD'!$U$44</f>
        <v>0</v>
      </c>
      <c r="J47" s="15"/>
      <c r="L47" s="13">
        <f>'TUSD BE'!$L$47*'TUSD BE'!$L$58</f>
        <v>-0.69865599538260181</v>
      </c>
      <c r="M47" s="13">
        <f>'TUSD BE'!$M$47*'TUSD BE'!$M$58</f>
        <v>-6.6009867887828186E-2</v>
      </c>
      <c r="N47" s="13">
        <f ca="1">'TUSD BE'!$N$47*'TUSD BE'!$N$58</f>
        <v>0</v>
      </c>
      <c r="O47" s="13">
        <f>'TUSD BE'!$O$47*'TUSD BE'!$O$58</f>
        <v>0</v>
      </c>
      <c r="P47" s="13">
        <f>'TUSD BE'!$P$47*'TUSD BE'!$P$58</f>
        <v>0</v>
      </c>
      <c r="Q47" s="13">
        <f>'TUSD BE'!$Q$47*'TUSD BE'!$Q$58</f>
        <v>-1.3122289916079237</v>
      </c>
      <c r="R47" s="13">
        <f>'TUSD BE'!$R$47*'TUSD BE'!$R$58</f>
        <v>-0.20295343846302683</v>
      </c>
      <c r="S47" s="13">
        <f>'TUSD BE'!$R$47*'TUSD BE'!$S$58</f>
        <v>0</v>
      </c>
      <c r="T47" s="13">
        <f ca="1">SUM($L$47:$S$47)</f>
        <v>-2.2798482933413804</v>
      </c>
      <c r="U47" s="13">
        <f>'TUSD BE'!$U$47*'TUSD BE'!$U$58</f>
        <v>0</v>
      </c>
      <c r="V47" s="13">
        <f>'TUSD BE'!$V$47*'TUSD BE'!$V$58</f>
        <v>0</v>
      </c>
      <c r="W47" s="13">
        <f>'TUSD BE'!$W$47*'TUSD BE'!$W$58</f>
        <v>0</v>
      </c>
      <c r="X47" s="13">
        <f>'TUSD BE'!$X$47*'TUSD BE'!$X$58</f>
        <v>0</v>
      </c>
      <c r="Y47" s="13">
        <f>'TUSD BE'!$Y$47*'TUSD BE'!$Y$58</f>
        <v>-1.925487066762464</v>
      </c>
      <c r="Z47" s="13">
        <f>'TUSD BE'!$Z$47*'TUSD BE'!$Z$58</f>
        <v>0</v>
      </c>
      <c r="AA47" s="13">
        <f>'TUSD BE'!$AA$47*'TUSD BE'!$AA$58</f>
        <v>0</v>
      </c>
      <c r="AB47" s="13">
        <f>SUM($U$47:$AA$47)</f>
        <v>-1.925487066762464</v>
      </c>
      <c r="AC47" s="13">
        <f>'TUSD BE'!$AC$47*'TUSD BE'!$AC$58</f>
        <v>-218.74478461810952</v>
      </c>
      <c r="AD47" s="13">
        <f>SUM($AC$47:$AC$47)</f>
        <v>-218.74478461810952</v>
      </c>
      <c r="AE47" s="13">
        <f ca="1">$AO$47*$AO$55</f>
        <v>0</v>
      </c>
      <c r="AF47" s="13">
        <f ca="1">$AP$47*$AP$55</f>
        <v>0</v>
      </c>
      <c r="AG47" s="13">
        <f ca="1">SUM($AE$47:$AF$47)</f>
        <v>0</v>
      </c>
      <c r="AH47" s="13">
        <f>'TUSD BE'!$AH$47*'TUSD BE'!$AH$58</f>
        <v>-0.61774365023605504</v>
      </c>
      <c r="AI47" s="13">
        <f>'TUSD BE'!$AI$47*'TUSD BE'!$AI$58</f>
        <v>0</v>
      </c>
      <c r="AJ47" s="13">
        <f ca="1">'TUSD BE'!$AJ$47*'TUSD BE'!$AJ$58</f>
        <v>0</v>
      </c>
      <c r="AK47" s="13">
        <f ca="1">'TUSD BE'!$AK$47*'TUSD BE'!$AK$58</f>
        <v>0</v>
      </c>
      <c r="AL47" s="13">
        <f ca="1">SUM($AH$47:$AK$47)</f>
        <v>-0.61774365023605504</v>
      </c>
      <c r="AM47" s="13">
        <f ca="1">SUMIF($L$4:$AL$4,"SUBTOTAL",$L$47:$AL$47)</f>
        <v>-223.56786362844943</v>
      </c>
      <c r="AO47" s="26">
        <f ca="1">+'TUSD BE'!$T$47+'TUSD BE'!$AB$47+'TUSD BE'!$AD$47+'TUSD BE'!$AL$47</f>
        <v>605.04636422917463</v>
      </c>
      <c r="AP47" s="26">
        <f ca="1">+'TUSD BE'!$T$47+'TUSD BE'!$AB$47+'TUSD BE'!$AD$47+'TUSD BE'!$AL$47</f>
        <v>605.04636422917463</v>
      </c>
    </row>
    <row r="48" spans="1:42" ht="11.25" customHeight="1" x14ac:dyDescent="0.25">
      <c r="A48" s="10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67</v>
      </c>
      <c r="H48" s="24" t="s">
        <v>60</v>
      </c>
      <c r="I48" s="24">
        <f>'MERCADO TUSD'!$U$45</f>
        <v>3301.431</v>
      </c>
      <c r="J48" s="15"/>
      <c r="L48" s="13">
        <f>'TUSD BE'!$L$48*'TUSD BE'!$L$58</f>
        <v>-0.69865599538260181</v>
      </c>
      <c r="M48" s="13">
        <f>'TUSD BE'!$M$48*'TUSD BE'!$M$58</f>
        <v>-6.6009867887828186E-2</v>
      </c>
      <c r="N48" s="13">
        <f ca="1">'TUSD BE'!$N$48*'TUSD BE'!$N$58</f>
        <v>0</v>
      </c>
      <c r="O48" s="13">
        <f>'TUSD BE'!$O$48*'TUSD BE'!$O$58</f>
        <v>0</v>
      </c>
      <c r="P48" s="13">
        <f>'TUSD BE'!$P$48*'TUSD BE'!$P$58</f>
        <v>0</v>
      </c>
      <c r="Q48" s="13">
        <f>'TUSD BE'!$Q$48*'TUSD BE'!$Q$58</f>
        <v>-1.3122289916079237</v>
      </c>
      <c r="R48" s="13">
        <f>'TUSD BE'!$R$48*'TUSD BE'!$R$58</f>
        <v>-0.20295343846302683</v>
      </c>
      <c r="S48" s="13">
        <f>'TUSD BE'!$R$48*'TUSD BE'!$S$58</f>
        <v>0</v>
      </c>
      <c r="T48" s="13">
        <f ca="1">SUM($L$48:$S$48)</f>
        <v>-2.2798482933413804</v>
      </c>
      <c r="U48" s="13">
        <f>'TUSD BE'!$U$48*'TUSD BE'!$U$58</f>
        <v>0</v>
      </c>
      <c r="V48" s="13">
        <f>'TUSD BE'!$V$48*'TUSD BE'!$V$58</f>
        <v>0</v>
      </c>
      <c r="W48" s="13">
        <f>'TUSD BE'!$W$48*'TUSD BE'!$W$58</f>
        <v>0</v>
      </c>
      <c r="X48" s="13">
        <f>'TUSD BE'!$X$48*'TUSD BE'!$X$58</f>
        <v>0</v>
      </c>
      <c r="Y48" s="13">
        <f>'TUSD BE'!$Y$48*'TUSD BE'!$Y$58</f>
        <v>-2.7910604427139765</v>
      </c>
      <c r="Z48" s="13">
        <f>'TUSD BE'!$Z$48*'TUSD BE'!$Z$58</f>
        <v>0</v>
      </c>
      <c r="AA48" s="13">
        <f>'TUSD BE'!$AA$48*'TUSD BE'!$AA$58</f>
        <v>0</v>
      </c>
      <c r="AB48" s="13">
        <f>SUM($U$48:$AA$48)</f>
        <v>-2.7910604427139765</v>
      </c>
      <c r="AC48" s="13">
        <f>'TUSD BE'!$AC$48*'TUSD BE'!$AC$58</f>
        <v>-317.02123506356378</v>
      </c>
      <c r="AD48" s="13">
        <f>SUM($AC$48:$AC$48)</f>
        <v>-317.02123506356378</v>
      </c>
      <c r="AE48" s="13">
        <f ca="1">$AO$48*$AO$55</f>
        <v>0</v>
      </c>
      <c r="AF48" s="13">
        <f ca="1">$AP$48*$AP$55</f>
        <v>0</v>
      </c>
      <c r="AG48" s="13">
        <f ca="1">SUM($AE$48:$AF$48)</f>
        <v>0</v>
      </c>
      <c r="AH48" s="13">
        <f>'TUSD BE'!$AH$48*'TUSD BE'!$AH$58</f>
        <v>-0.61774365023605504</v>
      </c>
      <c r="AI48" s="13">
        <f>'TUSD BE'!$AI$48*'TUSD BE'!$AI$58</f>
        <v>0</v>
      </c>
      <c r="AJ48" s="13">
        <f ca="1">'TUSD BE'!$AJ$48*'TUSD BE'!$AJ$58</f>
        <v>0</v>
      </c>
      <c r="AK48" s="13">
        <f ca="1">'TUSD BE'!$AK$48*'TUSD BE'!$AK$58</f>
        <v>0</v>
      </c>
      <c r="AL48" s="13">
        <f ca="1">SUM($AH$48:$AK$48)</f>
        <v>-0.61774365023605504</v>
      </c>
      <c r="AM48" s="13">
        <f ca="1">SUMIF($L$4:$AL$4,"SUBTOTAL",$L$48:$AL$48)</f>
        <v>-322.70988744985516</v>
      </c>
      <c r="AO48" s="26">
        <f ca="1">+'TUSD BE'!$T$48+'TUSD BE'!$AB$48+'TUSD BE'!$AD$48+'TUSD BE'!$AL$48</f>
        <v>808.80152935754006</v>
      </c>
      <c r="AP48" s="26">
        <f ca="1">+'TUSD BE'!$T$48+'TUSD BE'!$AB$48+'TUSD BE'!$AD$48+'TUSD BE'!$AL$48</f>
        <v>808.80152935754006</v>
      </c>
    </row>
    <row r="49" spans="1:42" ht="11.25" customHeight="1" x14ac:dyDescent="0.25">
      <c r="A49" s="103"/>
      <c r="B49" s="23" t="s">
        <v>78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67</v>
      </c>
      <c r="H49" s="24" t="s">
        <v>60</v>
      </c>
      <c r="I49" s="24">
        <f>'MERCADO TUSD'!$U$46</f>
        <v>0</v>
      </c>
      <c r="J49" s="15"/>
      <c r="L49" s="13">
        <f>'TUSD BE'!$L$49*'TUSD BE'!$L$58</f>
        <v>-0.69865599538260181</v>
      </c>
      <c r="M49" s="13">
        <f>'TUSD BE'!$M$49*'TUSD BE'!$M$58</f>
        <v>-6.6009867887828186E-2</v>
      </c>
      <c r="N49" s="13">
        <f ca="1">'TUSD BE'!$N$49*'TUSD BE'!$N$58</f>
        <v>0</v>
      </c>
      <c r="O49" s="13">
        <f>'TUSD BE'!$O$49*'TUSD BE'!$O$58</f>
        <v>0</v>
      </c>
      <c r="P49" s="13">
        <f>'TUSD BE'!$P$49*'TUSD BE'!$P$58</f>
        <v>0</v>
      </c>
      <c r="Q49" s="13">
        <f>'TUSD BE'!$Q$49*'TUSD BE'!$Q$58</f>
        <v>-1.3122289916079237</v>
      </c>
      <c r="R49" s="13">
        <f>'TUSD BE'!$R$49*'TUSD BE'!$R$58</f>
        <v>-0.20295343846302683</v>
      </c>
      <c r="S49" s="13">
        <f>'TUSD BE'!$R$49*'TUSD BE'!$S$58</f>
        <v>0</v>
      </c>
      <c r="T49" s="13">
        <f ca="1">SUM($L$49:$S$49)</f>
        <v>-2.2798482933413804</v>
      </c>
      <c r="U49" s="13">
        <f>'TUSD BE'!$U$49*'TUSD BE'!$U$58</f>
        <v>0</v>
      </c>
      <c r="V49" s="13">
        <f>'TUSD BE'!$V$49*'TUSD BE'!$V$58</f>
        <v>0</v>
      </c>
      <c r="W49" s="13">
        <f>'TUSD BE'!$W$49*'TUSD BE'!$W$58</f>
        <v>0</v>
      </c>
      <c r="X49" s="13">
        <f>'TUSD BE'!$X$49*'TUSD BE'!$X$58</f>
        <v>0</v>
      </c>
      <c r="Y49" s="13">
        <f>'TUSD BE'!$Y$49*'TUSD BE'!$Y$58</f>
        <v>-2.7910604427139765</v>
      </c>
      <c r="Z49" s="13">
        <f>'TUSD BE'!$Z$49*'TUSD BE'!$Z$58</f>
        <v>0</v>
      </c>
      <c r="AA49" s="13">
        <f>'TUSD BE'!$AA$49*'TUSD BE'!$AA$58</f>
        <v>0</v>
      </c>
      <c r="AB49" s="13">
        <f>SUM($U$49:$AA$49)</f>
        <v>-2.7910604427139765</v>
      </c>
      <c r="AC49" s="13">
        <f>'TUSD BE'!$AC$49*'TUSD BE'!$AC$58</f>
        <v>-317.02123506356378</v>
      </c>
      <c r="AD49" s="13">
        <f>SUM($AC$49:$AC$49)</f>
        <v>-317.02123506356378</v>
      </c>
      <c r="AE49" s="13">
        <f ca="1">$AO$49*$AO$55</f>
        <v>0</v>
      </c>
      <c r="AF49" s="13">
        <f ca="1">$AP$49*$AP$55</f>
        <v>0</v>
      </c>
      <c r="AG49" s="13">
        <f ca="1">SUM($AE$49:$AF$49)</f>
        <v>0</v>
      </c>
      <c r="AH49" s="13">
        <f>'TUSD BE'!$AH$49*'TUSD BE'!$AH$58</f>
        <v>-0.61774365023605504</v>
      </c>
      <c r="AI49" s="13">
        <f>'TUSD BE'!$AI$49*'TUSD BE'!$AI$58</f>
        <v>0</v>
      </c>
      <c r="AJ49" s="13">
        <f ca="1">'TUSD BE'!$AJ$49*'TUSD BE'!$AJ$58</f>
        <v>0</v>
      </c>
      <c r="AK49" s="13">
        <f ca="1">'TUSD BE'!$AK$49*'TUSD BE'!$AK$58</f>
        <v>0</v>
      </c>
      <c r="AL49" s="13">
        <f ca="1">SUM($AH$49:$AK$49)</f>
        <v>-0.61774365023605504</v>
      </c>
      <c r="AM49" s="13">
        <f ca="1">SUMIF($L$4:$AL$4,"SUBTOTAL",$L$49:$AL$49)</f>
        <v>-322.70988744985516</v>
      </c>
      <c r="AO49" s="26">
        <f ca="1">+'TUSD BE'!$T$49+'TUSD BE'!$AB$49+'TUSD BE'!$AD$49+'TUSD BE'!$AL$49</f>
        <v>808.80152935754006</v>
      </c>
      <c r="AP49" s="26">
        <f ca="1">+'TUSD BE'!$T$49+'TUSD BE'!$AB$49+'TUSD BE'!$AD$49+'TUSD BE'!$AL$49</f>
        <v>808.80152935754006</v>
      </c>
    </row>
    <row r="50" spans="1:42" ht="11.25" customHeight="1" x14ac:dyDescent="0.25">
      <c r="A50" s="103" t="s">
        <v>34</v>
      </c>
      <c r="B50" s="103" t="s">
        <v>23</v>
      </c>
      <c r="C50" s="103" t="s">
        <v>35</v>
      </c>
      <c r="D50" s="23" t="s">
        <v>36</v>
      </c>
      <c r="E50" s="23" t="s">
        <v>25</v>
      </c>
      <c r="F50" s="23" t="s">
        <v>25</v>
      </c>
      <c r="G50" s="24" t="s">
        <v>67</v>
      </c>
      <c r="H50" s="24" t="s">
        <v>60</v>
      </c>
      <c r="I50" s="24">
        <f>'MERCADO TUSD'!$U$47</f>
        <v>274.32500000000005</v>
      </c>
      <c r="J50" s="15"/>
      <c r="L50" s="13">
        <f>'TUSD BE'!$L$50*'TUSD BE'!$L$58</f>
        <v>-0.38426079746043101</v>
      </c>
      <c r="M50" s="13">
        <f>'TUSD BE'!$M$50*'TUSD BE'!$M$58</f>
        <v>-3.6305427338305503E-2</v>
      </c>
      <c r="N50" s="13">
        <f ca="1">'TUSD BE'!$N$50*'TUSD BE'!$N$58</f>
        <v>0</v>
      </c>
      <c r="O50" s="13">
        <f>'TUSD BE'!$O$50*'TUSD BE'!$O$58</f>
        <v>0</v>
      </c>
      <c r="P50" s="13">
        <f>'TUSD BE'!$P$50*'TUSD BE'!$P$58</f>
        <v>0</v>
      </c>
      <c r="Q50" s="13">
        <f>'TUSD BE'!$Q$50*'TUSD BE'!$Q$58</f>
        <v>-0.72172594538435808</v>
      </c>
      <c r="R50" s="13">
        <f>'TUSD BE'!$R$50*'TUSD BE'!$R$58</f>
        <v>-0.11162439115466477</v>
      </c>
      <c r="S50" s="13">
        <f>'TUSD BE'!$R$50*'TUSD BE'!$S$58</f>
        <v>0</v>
      </c>
      <c r="T50" s="13">
        <f ca="1">SUM($L$50:$S$50)</f>
        <v>-1.2539165613377594</v>
      </c>
      <c r="U50" s="13">
        <f>'TUSD BE'!$U$50*'TUSD BE'!$U$58</f>
        <v>0</v>
      </c>
      <c r="V50" s="13">
        <f>'TUSD BE'!$V$50*'TUSD BE'!$V$58</f>
        <v>0</v>
      </c>
      <c r="W50" s="13">
        <f>'TUSD BE'!$W$50*'TUSD BE'!$W$58</f>
        <v>0</v>
      </c>
      <c r="X50" s="13">
        <f>'TUSD BE'!$X$50*'TUSD BE'!$X$58</f>
        <v>0</v>
      </c>
      <c r="Y50" s="13">
        <f>'TUSD BE'!$Y$50*'TUSD BE'!$Y$58</f>
        <v>-1.5350832434926873</v>
      </c>
      <c r="Z50" s="13">
        <f>'TUSD BE'!$Z$50*'TUSD BE'!$Z$58</f>
        <v>0</v>
      </c>
      <c r="AA50" s="13">
        <f>'TUSD BE'!$AA$50*'TUSD BE'!$AA$58</f>
        <v>0</v>
      </c>
      <c r="AB50" s="13">
        <f>SUM($U$50:$AA$50)</f>
        <v>-1.5350832434926873</v>
      </c>
      <c r="AC50" s="13">
        <f>'TUSD BE'!$AC$50*'TUSD BE'!$AC$58</f>
        <v>-174.36167928496008</v>
      </c>
      <c r="AD50" s="13">
        <f>SUM($AC$50:$AC$50)</f>
        <v>-174.36167928496008</v>
      </c>
      <c r="AE50" s="13">
        <f ca="1">$AO$50*$AO$55</f>
        <v>0</v>
      </c>
      <c r="AF50" s="13">
        <f ca="1">$AP$50*$AP$55</f>
        <v>0</v>
      </c>
      <c r="AG50" s="13">
        <f ca="1">SUM($AE$50:$AF$50)</f>
        <v>0</v>
      </c>
      <c r="AH50" s="13">
        <f>'TUSD BE'!$AH$50*'TUSD BE'!$AH$58</f>
        <v>-0.33975900762983036</v>
      </c>
      <c r="AI50" s="13">
        <f>'TUSD BE'!$AI$50*'TUSD BE'!$AI$58</f>
        <v>0</v>
      </c>
      <c r="AJ50" s="13">
        <f ca="1">'TUSD BE'!$AJ$50*'TUSD BE'!$AJ$58</f>
        <v>0</v>
      </c>
      <c r="AK50" s="13">
        <f ca="1">'TUSD BE'!$AK$50*'TUSD BE'!$AK$58</f>
        <v>0</v>
      </c>
      <c r="AL50" s="13">
        <f ca="1">SUM($AH$50:$AK$50)</f>
        <v>-0.33975900762983036</v>
      </c>
      <c r="AM50" s="13">
        <f ca="1">SUMIF($L$4:$AL$4,"SUBTOTAL",$L$50:$AL$50)</f>
        <v>-177.49043809742034</v>
      </c>
      <c r="AO50" s="26">
        <f ca="1">+'TUSD BE'!$T$50+'TUSD BE'!$AB$50+'TUSD BE'!$AD$50+'TUSD BE'!$AL$50</f>
        <v>444.84084114664711</v>
      </c>
      <c r="AP50" s="26">
        <f ca="1">+'TUSD BE'!$T$50+'TUSD BE'!$AB$50+'TUSD BE'!$AD$50+'TUSD BE'!$AL$50</f>
        <v>444.84084114664711</v>
      </c>
    </row>
    <row r="51" spans="1:42" ht="11.25" customHeight="1" x14ac:dyDescent="0.25">
      <c r="A51" s="103"/>
      <c r="B51" s="103"/>
      <c r="C51" s="103"/>
      <c r="D51" s="24" t="s">
        <v>81</v>
      </c>
      <c r="E51" s="24" t="s">
        <v>25</v>
      </c>
      <c r="F51" s="24" t="s">
        <v>25</v>
      </c>
      <c r="G51" s="24" t="s">
        <v>67</v>
      </c>
      <c r="H51" s="24" t="s">
        <v>60</v>
      </c>
      <c r="I51" s="24">
        <f>'MERCADO TUSD'!$U$48</f>
        <v>0</v>
      </c>
      <c r="J51" s="15"/>
      <c r="L51" s="13">
        <f>'TUSD BE'!$L$51*'TUSD BE'!$L$58</f>
        <v>-0.41919359722956107</v>
      </c>
      <c r="M51" s="13">
        <f>'TUSD BE'!$M$51*'TUSD BE'!$M$58</f>
        <v>-3.9605920732696906E-2</v>
      </c>
      <c r="N51" s="13">
        <f ca="1">'TUSD BE'!$N$51*'TUSD BE'!$N$58</f>
        <v>0</v>
      </c>
      <c r="O51" s="13">
        <f>'TUSD BE'!$O$51*'TUSD BE'!$O$58</f>
        <v>0</v>
      </c>
      <c r="P51" s="13">
        <f>'TUSD BE'!$P$51*'TUSD BE'!$P$58</f>
        <v>0</v>
      </c>
      <c r="Q51" s="13">
        <f>'TUSD BE'!$Q$51*'TUSD BE'!$Q$58</f>
        <v>-0.78733739496475408</v>
      </c>
      <c r="R51" s="13">
        <f>'TUSD BE'!$R$51*'TUSD BE'!$R$58</f>
        <v>-0.1217720630778161</v>
      </c>
      <c r="S51" s="13">
        <f>'TUSD BE'!$R$51*'TUSD BE'!$S$58</f>
        <v>0</v>
      </c>
      <c r="T51" s="13">
        <f ca="1">SUM($L$51:$S$51)</f>
        <v>-1.3679089760048282</v>
      </c>
      <c r="U51" s="13">
        <f>'TUSD BE'!$U$51*'TUSD BE'!$U$58</f>
        <v>0</v>
      </c>
      <c r="V51" s="13">
        <f>'TUSD BE'!$V$51*'TUSD BE'!$V$58</f>
        <v>0</v>
      </c>
      <c r="W51" s="13">
        <f>'TUSD BE'!$W$51*'TUSD BE'!$W$58</f>
        <v>0</v>
      </c>
      <c r="X51" s="13">
        <f>'TUSD BE'!$X$51*'TUSD BE'!$X$58</f>
        <v>0</v>
      </c>
      <c r="Y51" s="13">
        <f>'TUSD BE'!$Y$51*'TUSD BE'!$Y$58</f>
        <v>-1.6746362656283857</v>
      </c>
      <c r="Z51" s="13">
        <f>'TUSD BE'!$Z$51*'TUSD BE'!$Z$58</f>
        <v>0</v>
      </c>
      <c r="AA51" s="13">
        <f>'TUSD BE'!$AA$51*'TUSD BE'!$AA$58</f>
        <v>0</v>
      </c>
      <c r="AB51" s="13">
        <f>SUM($U$51:$AA$51)</f>
        <v>-1.6746362656283857</v>
      </c>
      <c r="AC51" s="13">
        <f>'TUSD BE'!$AC$51*'TUSD BE'!$AC$58</f>
        <v>-190.21274103813829</v>
      </c>
      <c r="AD51" s="13">
        <f>SUM($AC$51:$AC$51)</f>
        <v>-190.21274103813829</v>
      </c>
      <c r="AE51" s="13">
        <f ca="1">$AO$51*$AO$55</f>
        <v>0</v>
      </c>
      <c r="AF51" s="13">
        <f ca="1">$AP$51*$AP$55</f>
        <v>0</v>
      </c>
      <c r="AG51" s="13">
        <f ca="1">SUM($AE$51:$AF$51)</f>
        <v>0</v>
      </c>
      <c r="AH51" s="13">
        <f>'TUSD BE'!$AH$51*'TUSD BE'!$AH$58</f>
        <v>-0.37064619014163303</v>
      </c>
      <c r="AI51" s="13">
        <f>'TUSD BE'!$AI$51*'TUSD BE'!$AI$58</f>
        <v>0</v>
      </c>
      <c r="AJ51" s="13">
        <f ca="1">'TUSD BE'!$AJ$51*'TUSD BE'!$AJ$58</f>
        <v>0</v>
      </c>
      <c r="AK51" s="13">
        <f ca="1">'TUSD BE'!$AK$51*'TUSD BE'!$AK$58</f>
        <v>0</v>
      </c>
      <c r="AL51" s="13">
        <f ca="1">SUM($AH$51:$AK$51)</f>
        <v>-0.37064619014163303</v>
      </c>
      <c r="AM51" s="13">
        <f ca="1">SUMIF($L$4:$AL$4,"SUBTOTAL",$L$51:$AL$51)</f>
        <v>-193.62593246991312</v>
      </c>
      <c r="AO51" s="26">
        <f ca="1">+'TUSD BE'!$T$51+'TUSD BE'!$AB$51+'TUSD BE'!$AD$51+'TUSD BE'!$AL$51</f>
        <v>485.28091761452407</v>
      </c>
      <c r="AP51" s="26">
        <f ca="1">+'TUSD BE'!$T$51+'TUSD BE'!$AB$51+'TUSD BE'!$AD$51+'TUSD BE'!$AL$51</f>
        <v>485.28091761452407</v>
      </c>
    </row>
    <row r="53" spans="1:42" ht="11.25" customHeight="1" x14ac:dyDescent="0.25">
      <c r="K53" s="16" t="s">
        <v>374</v>
      </c>
      <c r="L53" s="13">
        <f>SUMPRODUCT($I$5:$I51,$L$5:$L51)</f>
        <v>-9143.4708291486622</v>
      </c>
      <c r="M53" s="13">
        <f>SUMPRODUCT($I$5:$I51,$M$5:$M51)</f>
        <v>-874.8829567243414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-17173.440985587797</v>
      </c>
      <c r="R53" s="13">
        <f>SUMPRODUCT($I$5:$I51,$R$5:$R51)</f>
        <v>-2656.098074770769</v>
      </c>
      <c r="S53" s="13">
        <f>SUMPRODUCT($I$5:$I51,$S$5:$S51)</f>
        <v>0</v>
      </c>
      <c r="T53" s="13">
        <f ca="1">SUMPRODUCT($I$5:$I51,$T$5:$T51)</f>
        <v>-29847.892846231563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-36992.214810574027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-36992.214810574027</v>
      </c>
      <c r="AC53" s="13">
        <f>SUMPRODUCT($I$5:$I51,$AC$5:$AC51)</f>
        <v>-4201742.6235143142</v>
      </c>
      <c r="AD53" s="13">
        <f>SUMPRODUCT($I$5:$I51,$AD$5:$AD51)</f>
        <v>-4201742.6235143142</v>
      </c>
      <c r="AE53" s="13">
        <f ca="1">SUMPRODUCT($I$5:$I51,$AE$5:$AE51)</f>
        <v>0</v>
      </c>
      <c r="AF53" s="13">
        <f ca="1">SUMPRODUCT($I$5:$I51,$AF$5:$AF51)</f>
        <v>0</v>
      </c>
      <c r="AG53" s="13">
        <f ca="1">SUMPRODUCT($I$5:$I51,$AG$5:$AG51)</f>
        <v>0</v>
      </c>
      <c r="AH53" s="13">
        <f>SUMPRODUCT($I$5:$I51,$AH$5:$AH51)</f>
        <v>-8187.4636096936783</v>
      </c>
      <c r="AI53" s="13">
        <f>SUMPRODUCT($I$5:$I51,$AI$5:$AI51)</f>
        <v>0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-8187.4636096936783</v>
      </c>
      <c r="AM53" s="13">
        <f ca="1">SUMPRODUCT($I$5:$I51,$AM$5:$AM51)</f>
        <v>-4276770.1947808135</v>
      </c>
      <c r="AO53" s="24">
        <f ca="1">SUMPRODUCT($I$5:$I51,$AO$5:$AO51)</f>
        <v>10697024.820799768</v>
      </c>
      <c r="AP53" s="24">
        <f ca="1">SUMPRODUCT($I$5:$I51,$AP$5:$AP51)</f>
        <v>10697024.820799768</v>
      </c>
    </row>
    <row r="54" spans="1:42" ht="11.25" customHeight="1" x14ac:dyDescent="0.25">
      <c r="K54" s="16" t="s">
        <v>305</v>
      </c>
      <c r="L54" s="13">
        <f>'TR TUSD'!$L$56</f>
        <v>415113.20676963858</v>
      </c>
      <c r="M54" s="13">
        <f>'TR TUSD'!$M$56</f>
        <v>30541.582569726626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1180373.81125</v>
      </c>
      <c r="R54" s="13">
        <f>'TR TUSD'!$R$56</f>
        <v>186666.83775000004</v>
      </c>
      <c r="S54" s="13">
        <f>'TR TUSD'!$S$56</f>
        <v>0</v>
      </c>
      <c r="T54" s="13">
        <f>'TR TUSD'!$T$56</f>
        <v>1812695.4383393652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2115567.6166000003</v>
      </c>
      <c r="Z54" s="13">
        <f>'TR TUSD'!$Z$56</f>
        <v>0</v>
      </c>
      <c r="AA54" s="13">
        <f>'TR TUSD'!$AA$56</f>
        <v>0</v>
      </c>
      <c r="AB54" s="13">
        <f>'TR TUSD'!$AB$56</f>
        <v>2115567.6166000003</v>
      </c>
      <c r="AC54" s="13">
        <f>'TR TUSD'!$AC$56</f>
        <v>6595000</v>
      </c>
      <c r="AD54" s="13">
        <f>'TR TUSD'!$AD$56</f>
        <v>6595000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173761.76586040409</v>
      </c>
      <c r="AI54" s="13">
        <f>'TR TUSD'!$AI$56</f>
        <v>0</v>
      </c>
      <c r="AJ54" s="13">
        <f>'TR TUSD'!$AJ$56</f>
        <v>0</v>
      </c>
      <c r="AK54" s="13">
        <f>'TR TUSD'!$AK$56</f>
        <v>0</v>
      </c>
      <c r="AL54" s="13">
        <f>'TR TUSD'!$AL$56</f>
        <v>173761.76586040409</v>
      </c>
      <c r="AM54" s="13">
        <f>'TUSD BE'!$AM$54</f>
        <v>10697024.82079977</v>
      </c>
      <c r="AO54" s="24">
        <f>$AE$55</f>
        <v>0</v>
      </c>
      <c r="AP54" s="24">
        <f>$AF$55</f>
        <v>0</v>
      </c>
    </row>
    <row r="55" spans="1:42" ht="11.25" customHeight="1" x14ac:dyDescent="0.25">
      <c r="K55" s="16" t="s">
        <v>306</v>
      </c>
      <c r="L55" s="13">
        <f>CUSTOS!$E$2</f>
        <v>-9143.4708291486622</v>
      </c>
      <c r="M55" s="13">
        <f>CUSTOS!$E$3</f>
        <v>-874.8829567243414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-17173.440985587797</v>
      </c>
      <c r="R55" s="13">
        <f>CUSTOS!$E$8</f>
        <v>-2656.0980747707695</v>
      </c>
      <c r="S55" s="13">
        <f>CUSTOS!$E$9</f>
        <v>0</v>
      </c>
      <c r="T55" s="13">
        <f>CUSTOS!$E$10</f>
        <v>-29847.892846231571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-36992.214810574027</v>
      </c>
      <c r="Z55" s="13">
        <f>CUSTOS!$E$16</f>
        <v>0</v>
      </c>
      <c r="AA55" s="13">
        <f>CUSTOS!$E$17</f>
        <v>0</v>
      </c>
      <c r="AB55" s="13">
        <f>CUSTOS!$E$18</f>
        <v>-36992.214810574027</v>
      </c>
      <c r="AC55" s="13">
        <f>CUSTOS!$E$19</f>
        <v>-4201742.6235143151</v>
      </c>
      <c r="AD55" s="13">
        <f>CUSTOS!$E$20</f>
        <v>-4201742.6235143151</v>
      </c>
      <c r="AE55" s="13">
        <f>CUSTOS!$E$21</f>
        <v>0</v>
      </c>
      <c r="AF55" s="13">
        <f>CUSTOS!$E$22</f>
        <v>0</v>
      </c>
      <c r="AG55" s="13">
        <f>CUSTOS!$E$23</f>
        <v>0</v>
      </c>
      <c r="AH55" s="13">
        <f>CUSTOS!$E$24</f>
        <v>-8187.4636096936792</v>
      </c>
      <c r="AI55" s="13">
        <f>CUSTOS!$E$25</f>
        <v>0</v>
      </c>
      <c r="AJ55" s="13">
        <f>CUSTOS!$E$26</f>
        <v>0</v>
      </c>
      <c r="AK55" s="13">
        <f>CUSTOS!$E$27</f>
        <v>0</v>
      </c>
      <c r="AL55" s="13">
        <f>CUSTOS!$E$28</f>
        <v>-8187.4636096936792</v>
      </c>
      <c r="AM55" s="13">
        <f>CUSTOS!$E$29</f>
        <v>-4276770.1947808145</v>
      </c>
      <c r="AO55" s="24">
        <f ca="1">IF(AO53&lt;&gt;0,AO54/AO53,0)</f>
        <v>0</v>
      </c>
      <c r="AP55" s="24">
        <f ca="1">IF(AP53&lt;&gt;0,AP54/AP53,0)</f>
        <v>0</v>
      </c>
    </row>
    <row r="56" spans="1:42" ht="11.25" customHeight="1" x14ac:dyDescent="0.25">
      <c r="K56" s="16" t="s">
        <v>307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25">
      <c r="K57" s="16" t="s">
        <v>371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f>SUM($L$57:$S$57)</f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f>SUM($U$57:$AA$57)</f>
        <v>0</v>
      </c>
      <c r="AC57" s="13">
        <v>0</v>
      </c>
      <c r="AD57" s="13">
        <f>SUM($AC$57:$AC$57)</f>
        <v>0</v>
      </c>
      <c r="AE57" s="13">
        <v>0</v>
      </c>
      <c r="AF57" s="13">
        <v>0</v>
      </c>
      <c r="AG57" s="13">
        <f>SUM($AE$57:$AF$57)</f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f>SUM($AH$57:$AK$57)</f>
        <v>0</v>
      </c>
      <c r="AM57" s="13"/>
    </row>
    <row r="58" spans="1:42" ht="11.25" customHeight="1" x14ac:dyDescent="0.25">
      <c r="K58" s="16" t="s">
        <v>383</v>
      </c>
      <c r="L58" s="13">
        <f t="shared" ref="L58:R58" si="0">IF((L54-(0))&lt;&gt;0,(L56)/(L54-(0)),0)</f>
        <v>0</v>
      </c>
      <c r="M58" s="13">
        <f t="shared" si="0"/>
        <v>0</v>
      </c>
      <c r="N58" s="13">
        <f t="shared" si="0"/>
        <v>0</v>
      </c>
      <c r="O58" s="13">
        <f t="shared" si="0"/>
        <v>0</v>
      </c>
      <c r="P58" s="13">
        <f t="shared" si="0"/>
        <v>0</v>
      </c>
      <c r="Q58" s="13">
        <f t="shared" si="0"/>
        <v>0</v>
      </c>
      <c r="R58" s="13">
        <f t="shared" si="0"/>
        <v>0</v>
      </c>
      <c r="S58" s="13">
        <f>IF((R53-(0)&lt;&gt;0),(S55)/(R53-(0)),0)</f>
        <v>0</v>
      </c>
      <c r="T58" s="13"/>
      <c r="U58" s="13">
        <f t="shared" ref="U58:AA58" si="1">IF((U54-(0))&lt;&gt;0,(U56)/(U54-(0)),0)</f>
        <v>0</v>
      </c>
      <c r="V58" s="13">
        <f t="shared" si="1"/>
        <v>0</v>
      </c>
      <c r="W58" s="13">
        <f t="shared" si="1"/>
        <v>0</v>
      </c>
      <c r="X58" s="13">
        <f t="shared" si="1"/>
        <v>0</v>
      </c>
      <c r="Y58" s="13">
        <f t="shared" si="1"/>
        <v>0</v>
      </c>
      <c r="Z58" s="13">
        <f t="shared" si="1"/>
        <v>0</v>
      </c>
      <c r="AA58" s="13">
        <f t="shared" si="1"/>
        <v>0</v>
      </c>
      <c r="AB58" s="13"/>
      <c r="AC58" s="13">
        <f>IF((AC54-(0))&lt;&gt;0,(AC56)/(AC54-(0)),0)</f>
        <v>0</v>
      </c>
      <c r="AD58" s="13"/>
      <c r="AE58" s="13">
        <f ca="1">IF(($AM53-(0))&lt;&gt;0,(AE55)/($AM53-(0)),0)</f>
        <v>0</v>
      </c>
      <c r="AF58" s="13">
        <f ca="1">IF(($AM53-(0))&lt;&gt;0,(AF55)/($AM53-(0)),0)</f>
        <v>0</v>
      </c>
      <c r="AG58" s="13"/>
      <c r="AH58" s="13">
        <f>IF((AH54-(0))&lt;&gt;0,(AH56)/(AH54-(0)),0)</f>
        <v>0</v>
      </c>
      <c r="AI58" s="13">
        <f>IF((AI54-(0))&lt;&gt;0,(AI56)/(AI54-(0)),0)</f>
        <v>0</v>
      </c>
      <c r="AJ58" s="13">
        <f>IF((AJ54-(0))&lt;&gt;0,(AJ56)/(AJ54-(0)),0)</f>
        <v>0</v>
      </c>
      <c r="AK58" s="13">
        <f>IF((AK54-(0))&lt;&gt;0,(AK56)/(AK54-(0)),0)</f>
        <v>0</v>
      </c>
      <c r="AL58" s="13"/>
      <c r="AM58" s="13"/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conditionalFormatting sqref="L53">
    <cfRule type="cellIs" dxfId="666" priority="55" operator="notEqual">
      <formula>$L$55</formula>
    </cfRule>
    <cfRule type="cellIs" dxfId="665" priority="56" operator="equal">
      <formula>$L$55</formula>
    </cfRule>
  </conditionalFormatting>
  <conditionalFormatting sqref="M53">
    <cfRule type="cellIs" dxfId="664" priority="53" operator="notEqual">
      <formula>$M$55</formula>
    </cfRule>
    <cfRule type="cellIs" dxfId="663" priority="54" operator="equal">
      <formula>$M$55</formula>
    </cfRule>
  </conditionalFormatting>
  <conditionalFormatting sqref="N53">
    <cfRule type="cellIs" dxfId="662" priority="51" operator="notEqual">
      <formula>$N$55</formula>
    </cfRule>
    <cfRule type="cellIs" dxfId="661" priority="52" operator="equal">
      <formula>$N$55</formula>
    </cfRule>
  </conditionalFormatting>
  <conditionalFormatting sqref="O53">
    <cfRule type="cellIs" dxfId="660" priority="49" operator="notEqual">
      <formula>$O$55</formula>
    </cfRule>
    <cfRule type="cellIs" dxfId="659" priority="50" operator="equal">
      <formula>$O$55</formula>
    </cfRule>
  </conditionalFormatting>
  <conditionalFormatting sqref="P53">
    <cfRule type="cellIs" dxfId="658" priority="47" operator="notEqual">
      <formula>$P$55</formula>
    </cfRule>
    <cfRule type="cellIs" dxfId="657" priority="48" operator="equal">
      <formula>$P$55</formula>
    </cfRule>
  </conditionalFormatting>
  <conditionalFormatting sqref="Q53">
    <cfRule type="cellIs" dxfId="656" priority="45" operator="notEqual">
      <formula>$Q$55</formula>
    </cfRule>
    <cfRule type="cellIs" dxfId="655" priority="46" operator="equal">
      <formula>$Q$55</formula>
    </cfRule>
  </conditionalFormatting>
  <conditionalFormatting sqref="R53">
    <cfRule type="cellIs" dxfId="654" priority="43" operator="notEqual">
      <formula>$R$55</formula>
    </cfRule>
    <cfRule type="cellIs" dxfId="653" priority="44" operator="equal">
      <formula>$R$55</formula>
    </cfRule>
  </conditionalFormatting>
  <conditionalFormatting sqref="S53">
    <cfRule type="cellIs" dxfId="652" priority="41" operator="notEqual">
      <formula>$S$55</formula>
    </cfRule>
    <cfRule type="cellIs" dxfId="651" priority="42" operator="equal">
      <formula>$S$55</formula>
    </cfRule>
  </conditionalFormatting>
  <conditionalFormatting sqref="T53">
    <cfRule type="cellIs" dxfId="650" priority="39" operator="notEqual">
      <formula>$T$55</formula>
    </cfRule>
    <cfRule type="cellIs" dxfId="649" priority="40" operator="equal">
      <formula>$T$55</formula>
    </cfRule>
  </conditionalFormatting>
  <conditionalFormatting sqref="U53">
    <cfRule type="cellIs" dxfId="648" priority="37" operator="notEqual">
      <formula>$U$55</formula>
    </cfRule>
    <cfRule type="cellIs" dxfId="647" priority="38" operator="equal">
      <formula>$U$55</formula>
    </cfRule>
  </conditionalFormatting>
  <conditionalFormatting sqref="V53">
    <cfRule type="cellIs" dxfId="646" priority="35" operator="notEqual">
      <formula>$V$55</formula>
    </cfRule>
    <cfRule type="cellIs" dxfId="645" priority="36" operator="equal">
      <formula>$V$55</formula>
    </cfRule>
  </conditionalFormatting>
  <conditionalFormatting sqref="W53">
    <cfRule type="cellIs" dxfId="644" priority="33" operator="notEqual">
      <formula>$W$55</formula>
    </cfRule>
    <cfRule type="cellIs" dxfId="643" priority="34" operator="equal">
      <formula>$W$55</formula>
    </cfRule>
  </conditionalFormatting>
  <conditionalFormatting sqref="X53">
    <cfRule type="cellIs" dxfId="642" priority="31" operator="notEqual">
      <formula>$X$55</formula>
    </cfRule>
    <cfRule type="cellIs" dxfId="641" priority="32" operator="equal">
      <formula>$X$55</formula>
    </cfRule>
  </conditionalFormatting>
  <conditionalFormatting sqref="Y53">
    <cfRule type="cellIs" dxfId="640" priority="29" operator="notEqual">
      <formula>$Y$55</formula>
    </cfRule>
    <cfRule type="cellIs" dxfId="639" priority="30" operator="equal">
      <formula>$Y$55</formula>
    </cfRule>
  </conditionalFormatting>
  <conditionalFormatting sqref="Z53">
    <cfRule type="cellIs" dxfId="638" priority="27" operator="notEqual">
      <formula>$Z$55</formula>
    </cfRule>
    <cfRule type="cellIs" dxfId="637" priority="28" operator="equal">
      <formula>$Z$55</formula>
    </cfRule>
  </conditionalFormatting>
  <conditionalFormatting sqref="AA53">
    <cfRule type="cellIs" dxfId="636" priority="25" operator="notEqual">
      <formula>$AA$55</formula>
    </cfRule>
    <cfRule type="cellIs" dxfId="635" priority="26" operator="equal">
      <formula>$AA$55</formula>
    </cfRule>
  </conditionalFormatting>
  <conditionalFormatting sqref="AB53">
    <cfRule type="cellIs" dxfId="634" priority="23" operator="notEqual">
      <formula>$AB$55</formula>
    </cfRule>
    <cfRule type="cellIs" dxfId="633" priority="24" operator="equal">
      <formula>$AB$55</formula>
    </cfRule>
  </conditionalFormatting>
  <conditionalFormatting sqref="AC53">
    <cfRule type="cellIs" dxfId="632" priority="21" operator="notEqual">
      <formula>$AC$55</formula>
    </cfRule>
    <cfRule type="cellIs" dxfId="631" priority="22" operator="equal">
      <formula>$AC$55</formula>
    </cfRule>
  </conditionalFormatting>
  <conditionalFormatting sqref="AD53">
    <cfRule type="cellIs" dxfId="630" priority="19" operator="notEqual">
      <formula>$AD$55</formula>
    </cfRule>
    <cfRule type="cellIs" dxfId="629" priority="20" operator="equal">
      <formula>$AD$55</formula>
    </cfRule>
  </conditionalFormatting>
  <conditionalFormatting sqref="AE53">
    <cfRule type="cellIs" dxfId="628" priority="17" operator="notEqual">
      <formula>$AE$55</formula>
    </cfRule>
    <cfRule type="cellIs" dxfId="627" priority="18" operator="equal">
      <formula>$AE$55</formula>
    </cfRule>
  </conditionalFormatting>
  <conditionalFormatting sqref="AF53">
    <cfRule type="cellIs" dxfId="626" priority="16" operator="equal">
      <formula>$AF$55</formula>
    </cfRule>
  </conditionalFormatting>
  <conditionalFormatting sqref="AF53">
    <cfRule type="cellIs" dxfId="625" priority="15" operator="notEqual">
      <formula>$AF$55</formula>
    </cfRule>
  </conditionalFormatting>
  <conditionalFormatting sqref="AG53">
    <cfRule type="cellIs" dxfId="624" priority="14" operator="equal">
      <formula>$AG$55</formula>
    </cfRule>
  </conditionalFormatting>
  <conditionalFormatting sqref="AG53">
    <cfRule type="cellIs" dxfId="623" priority="13" operator="notEqual">
      <formula>$AG$55</formula>
    </cfRule>
  </conditionalFormatting>
  <conditionalFormatting sqref="AH53">
    <cfRule type="cellIs" dxfId="622" priority="12" operator="equal">
      <formula>$AH$55</formula>
    </cfRule>
  </conditionalFormatting>
  <conditionalFormatting sqref="AH53">
    <cfRule type="cellIs" dxfId="621" priority="11" operator="notEqual">
      <formula>$AH$55</formula>
    </cfRule>
  </conditionalFormatting>
  <conditionalFormatting sqref="AI53">
    <cfRule type="cellIs" dxfId="620" priority="10" operator="equal">
      <formula>$AI$55</formula>
    </cfRule>
  </conditionalFormatting>
  <conditionalFormatting sqref="AI53">
    <cfRule type="cellIs" dxfId="619" priority="9" operator="notEqual">
      <formula>$AI$55</formula>
    </cfRule>
  </conditionalFormatting>
  <conditionalFormatting sqref="AJ53">
    <cfRule type="cellIs" dxfId="618" priority="8" operator="equal">
      <formula>$AJ$55</formula>
    </cfRule>
  </conditionalFormatting>
  <conditionalFormatting sqref="AJ53">
    <cfRule type="cellIs" dxfId="617" priority="7" operator="notEqual">
      <formula>$AJ$55</formula>
    </cfRule>
  </conditionalFormatting>
  <conditionalFormatting sqref="AK53">
    <cfRule type="cellIs" dxfId="616" priority="6" operator="equal">
      <formula>$AK$55</formula>
    </cfRule>
  </conditionalFormatting>
  <conditionalFormatting sqref="AK53">
    <cfRule type="cellIs" dxfId="615" priority="5" operator="notEqual">
      <formula>$AK$55</formula>
    </cfRule>
  </conditionalFormatting>
  <conditionalFormatting sqref="AL53">
    <cfRule type="cellIs" dxfId="614" priority="4" operator="equal">
      <formula>$AL$55</formula>
    </cfRule>
  </conditionalFormatting>
  <conditionalFormatting sqref="AL53">
    <cfRule type="cellIs" dxfId="613" priority="3" operator="notEqual">
      <formula>$AL$55</formula>
    </cfRule>
  </conditionalFormatting>
  <conditionalFormatting sqref="AM53">
    <cfRule type="cellIs" dxfId="612" priority="2" operator="equal">
      <formula>$AM$55</formula>
    </cfRule>
  </conditionalFormatting>
  <conditionalFormatting sqref="AM53">
    <cfRule type="cellIs" dxfId="611" priority="1" operator="notEqual">
      <formula>$AM$55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D22E-101D-421C-B459-C493048A68FB}">
  <sheetPr codeName="Planilha11"/>
  <dimension ref="A1:AP57"/>
  <sheetViews>
    <sheetView showGridLines="0" topLeftCell="AC35" workbookViewId="0">
      <selection activeCell="AO53" sqref="AO53:AP55"/>
    </sheetView>
  </sheetViews>
  <sheetFormatPr defaultColWidth="9.140625"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4" width="4.140625" style="9" bestFit="1" customWidth="1"/>
    <col min="15" max="16" width="4.8554687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8.42578125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570312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0" width="9.140625" style="9"/>
    <col min="41" max="42" width="10.85546875" style="9" bestFit="1" customWidth="1"/>
    <col min="43" max="16384" width="9.140625" style="9"/>
  </cols>
  <sheetData>
    <row r="1" spans="1:42" ht="11.25" customHeight="1" x14ac:dyDescent="0.25">
      <c r="A1" s="104" t="s">
        <v>49</v>
      </c>
      <c r="B1" s="104" t="s">
        <v>50</v>
      </c>
      <c r="C1" s="104" t="s">
        <v>51</v>
      </c>
      <c r="D1" s="104" t="s">
        <v>52</v>
      </c>
      <c r="E1" s="104" t="s">
        <v>53</v>
      </c>
      <c r="F1" s="104" t="s">
        <v>15</v>
      </c>
      <c r="G1" s="104" t="s">
        <v>55</v>
      </c>
      <c r="H1" s="104" t="s">
        <v>56</v>
      </c>
      <c r="I1" s="104" t="s">
        <v>365</v>
      </c>
      <c r="J1" s="96"/>
      <c r="L1" s="105" t="s">
        <v>385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O1" s="26"/>
      <c r="AP1" s="108" t="s">
        <v>367</v>
      </c>
    </row>
    <row r="2" spans="1:42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6"/>
      <c r="L2" s="105" t="s">
        <v>263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O2" s="26"/>
      <c r="AP2" s="109"/>
    </row>
    <row r="3" spans="1:42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6"/>
      <c r="L3" s="105" t="s">
        <v>264</v>
      </c>
      <c r="M3" s="105"/>
      <c r="N3" s="105"/>
      <c r="O3" s="105"/>
      <c r="P3" s="105"/>
      <c r="Q3" s="105"/>
      <c r="R3" s="105"/>
      <c r="S3" s="105"/>
      <c r="T3" s="105"/>
      <c r="U3" s="105" t="s">
        <v>273</v>
      </c>
      <c r="V3" s="105"/>
      <c r="W3" s="105"/>
      <c r="X3" s="105"/>
      <c r="Y3" s="105"/>
      <c r="Z3" s="105"/>
      <c r="AA3" s="105"/>
      <c r="AB3" s="105"/>
      <c r="AC3" s="105" t="s">
        <v>281</v>
      </c>
      <c r="AD3" s="105"/>
      <c r="AE3" s="105" t="s">
        <v>283</v>
      </c>
      <c r="AF3" s="105"/>
      <c r="AG3" s="105"/>
      <c r="AH3" s="105" t="s">
        <v>286</v>
      </c>
      <c r="AI3" s="105"/>
      <c r="AJ3" s="105"/>
      <c r="AK3" s="105"/>
      <c r="AL3" s="105"/>
      <c r="AM3" s="105" t="s">
        <v>272</v>
      </c>
      <c r="AO3" s="26"/>
      <c r="AP3" s="109"/>
    </row>
    <row r="4" spans="1:42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6"/>
      <c r="L4" s="10" t="s">
        <v>349</v>
      </c>
      <c r="M4" s="10" t="s">
        <v>265</v>
      </c>
      <c r="N4" s="10" t="s">
        <v>266</v>
      </c>
      <c r="O4" s="10" t="s">
        <v>267</v>
      </c>
      <c r="P4" s="10" t="s">
        <v>268</v>
      </c>
      <c r="Q4" s="10" t="s">
        <v>269</v>
      </c>
      <c r="R4" s="10" t="s">
        <v>270</v>
      </c>
      <c r="S4" s="10" t="s">
        <v>271</v>
      </c>
      <c r="T4" s="10" t="s">
        <v>272</v>
      </c>
      <c r="U4" s="10" t="s">
        <v>274</v>
      </c>
      <c r="V4" s="10" t="s">
        <v>275</v>
      </c>
      <c r="W4" s="10" t="s">
        <v>276</v>
      </c>
      <c r="X4" s="10" t="s">
        <v>277</v>
      </c>
      <c r="Y4" s="10" t="s">
        <v>278</v>
      </c>
      <c r="Z4" s="10" t="s">
        <v>279</v>
      </c>
      <c r="AA4" s="10" t="s">
        <v>280</v>
      </c>
      <c r="AB4" s="10" t="s">
        <v>272</v>
      </c>
      <c r="AC4" s="10" t="s">
        <v>282</v>
      </c>
      <c r="AD4" s="10" t="s">
        <v>272</v>
      </c>
      <c r="AE4" s="10" t="s">
        <v>284</v>
      </c>
      <c r="AF4" s="10" t="s">
        <v>285</v>
      </c>
      <c r="AG4" s="10" t="s">
        <v>272</v>
      </c>
      <c r="AH4" s="10" t="s">
        <v>287</v>
      </c>
      <c r="AI4" s="10" t="s">
        <v>288</v>
      </c>
      <c r="AJ4" s="10" t="s">
        <v>289</v>
      </c>
      <c r="AK4" s="10" t="s">
        <v>290</v>
      </c>
      <c r="AL4" s="10" t="s">
        <v>272</v>
      </c>
      <c r="AM4" s="107"/>
      <c r="AO4" s="27" t="s">
        <v>384</v>
      </c>
      <c r="AP4" s="110"/>
    </row>
    <row r="5" spans="1:42" ht="11.25" customHeight="1" x14ac:dyDescent="0.25">
      <c r="A5" s="103" t="s">
        <v>58</v>
      </c>
      <c r="B5" s="103" t="s">
        <v>63</v>
      </c>
      <c r="C5" s="103" t="s">
        <v>25</v>
      </c>
      <c r="D5" s="103" t="s">
        <v>25</v>
      </c>
      <c r="E5" s="103" t="s">
        <v>25</v>
      </c>
      <c r="F5" s="103" t="s">
        <v>25</v>
      </c>
      <c r="G5" s="24" t="s">
        <v>65</v>
      </c>
      <c r="H5" s="24" t="s">
        <v>64</v>
      </c>
      <c r="I5" s="24">
        <f>'MERCADO TUSD'!$U$2+0.00000001</f>
        <v>1E-8</v>
      </c>
      <c r="J5" s="15"/>
      <c r="L5" s="13">
        <f>'TUSD BE'!$L$5*'TUSD BF'!$L$58</f>
        <v>0</v>
      </c>
      <c r="M5" s="13">
        <f>'TUSD BE'!$M$5*'TUSD BF'!$M$58</f>
        <v>0</v>
      </c>
      <c r="N5" s="13">
        <f ca="1">'TUSD BE'!$N$5*'TUSD BF'!$N$58</f>
        <v>0</v>
      </c>
      <c r="O5" s="13">
        <f>'TUSD BE'!$O$5*'TUSD BF'!$O$58</f>
        <v>0</v>
      </c>
      <c r="P5" s="13">
        <f>'TUSD BE'!$P$5*'TUSD BF'!$P$58</f>
        <v>0</v>
      </c>
      <c r="Q5" s="13">
        <f>'TUSD BE'!$Q$5*'TUSD BF'!$Q$58</f>
        <v>0</v>
      </c>
      <c r="R5" s="13">
        <f>'TUSD BE'!$R$5*'TUSD BF'!$R$58</f>
        <v>0</v>
      </c>
      <c r="S5" s="13">
        <f>'TUSD BE'!$R$5*'TUSD BF'!$S$58</f>
        <v>0</v>
      </c>
      <c r="T5" s="13">
        <f ca="1">SUM($L$5:$S$5)</f>
        <v>0</v>
      </c>
      <c r="U5" s="13">
        <f>'TUSD BE'!$U$5*'TUSD BF'!$U$58</f>
        <v>0</v>
      </c>
      <c r="V5" s="13">
        <f>'TUSD BE'!$V$5*'TUSD BF'!$V$58</f>
        <v>0</v>
      </c>
      <c r="W5" s="13">
        <f>'TUSD BE'!$W$5*'TUSD BF'!$W$58</f>
        <v>0</v>
      </c>
      <c r="X5" s="13">
        <f>'TUSD BE'!$X$5*'TUSD BF'!$X$58</f>
        <v>0</v>
      </c>
      <c r="Y5" s="13">
        <f>'TUSD BE'!$Y$5*'TUSD BF'!$Y$58</f>
        <v>0</v>
      </c>
      <c r="Z5" s="13">
        <f>'TUSD BE'!$Z$5*'TUSD BF'!$Z$58</f>
        <v>0</v>
      </c>
      <c r="AA5" s="13">
        <f>'TUSD BE'!$AA$5*'TUSD BF'!$AA$58</f>
        <v>0</v>
      </c>
      <c r="AB5" s="13">
        <f>SUM($U$5:$AA$5)</f>
        <v>0</v>
      </c>
      <c r="AC5" s="13">
        <f>'TUSD BE'!$AC$5*'TUSD BF'!$AC$58</f>
        <v>0</v>
      </c>
      <c r="AD5" s="13">
        <f>SUM($AC$5:$AC$5)</f>
        <v>0</v>
      </c>
      <c r="AE5" s="13">
        <f ca="1">$AO$5*$AO$55</f>
        <v>0</v>
      </c>
      <c r="AF5" s="13">
        <f ca="1">$AP$5*$AP$55</f>
        <v>0</v>
      </c>
      <c r="AG5" s="13">
        <f ca="1">SUM($AE$5:$AF$5)</f>
        <v>0</v>
      </c>
      <c r="AH5" s="13">
        <f>'TUSD BE'!$AH$5*'TUSD BF'!$AH$58</f>
        <v>0</v>
      </c>
      <c r="AI5" s="13">
        <f>'TUSD BE'!$AI$5*'TUSD BF'!$AI$58</f>
        <v>0</v>
      </c>
      <c r="AJ5" s="13">
        <f ca="1">'TUSD BE'!$AJ$5*'TUSD BF'!$AJ$58</f>
        <v>0</v>
      </c>
      <c r="AK5" s="13">
        <f ca="1">'TUSD BE'!$AK$5*'TUSD BF'!$AK$58</f>
        <v>0</v>
      </c>
      <c r="AL5" s="13">
        <f ca="1">SUM($AH$5:$AK$5)</f>
        <v>0</v>
      </c>
      <c r="AM5" s="13">
        <f ca="1">SUMIF($L$4:$AL$4,"SUBTOTAL",$L$5:$AL$5)</f>
        <v>0</v>
      </c>
      <c r="AO5" s="26">
        <f ca="1">+'TUSD BE'!$T$5+'TUSD BE'!$AB$5+'TUSD BE'!$AD$5+'TUSD BE'!$AL$5</f>
        <v>168.51159185262887</v>
      </c>
      <c r="AP5" s="26">
        <f ca="1">+'TUSD BE'!$T$5+'TUSD BE'!$AB$5+'TUSD BE'!$AD$5+'TUSD BE'!$AL$5</f>
        <v>168.51159185262887</v>
      </c>
    </row>
    <row r="6" spans="1:42" ht="11.25" customHeight="1" x14ac:dyDescent="0.25">
      <c r="A6" s="103"/>
      <c r="B6" s="103"/>
      <c r="C6" s="103"/>
      <c r="D6" s="103"/>
      <c r="E6" s="103"/>
      <c r="F6" s="103"/>
      <c r="G6" s="24" t="s">
        <v>66</v>
      </c>
      <c r="H6" s="24" t="s">
        <v>64</v>
      </c>
      <c r="I6" s="24">
        <f>'MERCADO TUSD'!$U$3+0.00000001</f>
        <v>1E-8</v>
      </c>
      <c r="J6" s="15"/>
      <c r="L6" s="13">
        <f>'TUSD BE'!$L$6*'TUSD BF'!$L$58</f>
        <v>0</v>
      </c>
      <c r="M6" s="13">
        <f>'TUSD BE'!$M$6*'TUSD BF'!$M$58</f>
        <v>0</v>
      </c>
      <c r="N6" s="13">
        <f ca="1">'TUSD BE'!$N$6*'TUSD BF'!$N$58</f>
        <v>0</v>
      </c>
      <c r="O6" s="13">
        <f>'TUSD BE'!$O$6*'TUSD BF'!$O$58</f>
        <v>0</v>
      </c>
      <c r="P6" s="13">
        <f>'TUSD BE'!$P$6*'TUSD BF'!$P$58</f>
        <v>0</v>
      </c>
      <c r="Q6" s="13">
        <f>'TUSD BE'!$Q$6*'TUSD BF'!$Q$58</f>
        <v>0</v>
      </c>
      <c r="R6" s="13">
        <f>'TUSD BE'!$R$6*'TUSD BF'!$R$58</f>
        <v>0</v>
      </c>
      <c r="S6" s="13">
        <f>'TUSD BE'!$R$6*'TUSD BF'!$S$58</f>
        <v>0</v>
      </c>
      <c r="T6" s="13">
        <f ca="1">SUM($L$6:$S$6)</f>
        <v>0</v>
      </c>
      <c r="U6" s="13">
        <f>'TUSD BE'!$U$6*'TUSD BF'!$U$58</f>
        <v>0</v>
      </c>
      <c r="V6" s="13">
        <f>'TUSD BE'!$V$6*'TUSD BF'!$V$58</f>
        <v>0</v>
      </c>
      <c r="W6" s="13">
        <f>'TUSD BE'!$W$6*'TUSD BF'!$W$58</f>
        <v>0</v>
      </c>
      <c r="X6" s="13">
        <f>'TUSD BE'!$X$6*'TUSD BF'!$X$58</f>
        <v>0</v>
      </c>
      <c r="Y6" s="13">
        <f>'TUSD BE'!$Y$6*'TUSD BF'!$Y$58</f>
        <v>0</v>
      </c>
      <c r="Z6" s="13">
        <f>'TUSD BE'!$Z$6*'TUSD BF'!$Z$58</f>
        <v>0</v>
      </c>
      <c r="AA6" s="13">
        <f>'TUSD BE'!$AA$6*'TUSD BF'!$AA$58</f>
        <v>0</v>
      </c>
      <c r="AB6" s="13">
        <f>SUM($U$6:$AA$6)</f>
        <v>0</v>
      </c>
      <c r="AC6" s="13">
        <f>'TUSD BE'!$AC$6*'TUSD BF'!$AC$58</f>
        <v>0</v>
      </c>
      <c r="AD6" s="13">
        <f>SUM($AC$6:$AC$6)</f>
        <v>0</v>
      </c>
      <c r="AE6" s="13">
        <f ca="1">$AO$6*$AO$55</f>
        <v>0</v>
      </c>
      <c r="AF6" s="13">
        <f ca="1">$AP$6*$AP$55</f>
        <v>0</v>
      </c>
      <c r="AG6" s="13">
        <f ca="1">SUM($AE$6:$AF$6)</f>
        <v>0</v>
      </c>
      <c r="AH6" s="13">
        <f>'TUSD BE'!$AH$6*'TUSD BF'!$AH$58</f>
        <v>0</v>
      </c>
      <c r="AI6" s="13">
        <f>'TUSD BE'!$AI$6*'TUSD BF'!$AI$58</f>
        <v>0</v>
      </c>
      <c r="AJ6" s="13">
        <f ca="1">'TUSD BE'!$AJ$6*'TUSD BF'!$AJ$58</f>
        <v>0</v>
      </c>
      <c r="AK6" s="13">
        <f ca="1">'TUSD BE'!$AK$6*'TUSD BF'!$AK$58</f>
        <v>0</v>
      </c>
      <c r="AL6" s="13">
        <f ca="1">SUM($AH$6:$AK$6)</f>
        <v>0</v>
      </c>
      <c r="AM6" s="13">
        <f ca="1">SUMIF($L$4:$AL$4,"SUBTOTAL",$L$6:$AL$6)</f>
        <v>0</v>
      </c>
      <c r="AO6" s="26">
        <f ca="1">+'TUSD BE'!$T$6+'TUSD BE'!$AB$6+'TUSD BE'!$AD$6+'TUSD BE'!$AL$6</f>
        <v>53.194488915225733</v>
      </c>
      <c r="AP6" s="26">
        <f ca="1">+'TUSD BE'!$T$6+'TUSD BE'!$AB$6+'TUSD BE'!$AD$6+'TUSD BE'!$AL$6</f>
        <v>53.194488915225733</v>
      </c>
    </row>
    <row r="7" spans="1:42" ht="11.25" customHeight="1" x14ac:dyDescent="0.25">
      <c r="A7" s="103"/>
      <c r="B7" s="103"/>
      <c r="C7" s="103"/>
      <c r="D7" s="103"/>
      <c r="E7" s="103"/>
      <c r="F7" s="103"/>
      <c r="G7" s="24" t="s">
        <v>67</v>
      </c>
      <c r="H7" s="24" t="s">
        <v>60</v>
      </c>
      <c r="I7" s="24">
        <f>'MERCADO TUSD'!$U$4+0.00000001</f>
        <v>1E-8</v>
      </c>
      <c r="J7" s="15"/>
      <c r="L7" s="13">
        <f>'TUSD BE'!$L$7*'TUSD BF'!$L$58</f>
        <v>0</v>
      </c>
      <c r="M7" s="13">
        <f>'TUSD BE'!$M$7*'TUSD BF'!$M$58</f>
        <v>0</v>
      </c>
      <c r="N7" s="13">
        <f ca="1">'TUSD BE'!$N$7*'TUSD BF'!$N$58</f>
        <v>0</v>
      </c>
      <c r="O7" s="13">
        <f>'TUSD BE'!$O$7*'TUSD BF'!$O$58</f>
        <v>0</v>
      </c>
      <c r="P7" s="13">
        <f>'TUSD BE'!$P$7*'TUSD BF'!$P$58</f>
        <v>0</v>
      </c>
      <c r="Q7" s="13">
        <f>'TUSD BE'!$Q$7*'TUSD BF'!$Q$58</f>
        <v>0</v>
      </c>
      <c r="R7" s="13">
        <f>'TUSD BE'!$R$7*'TUSD BF'!$R$58</f>
        <v>0</v>
      </c>
      <c r="S7" s="13">
        <f>'TUSD BE'!$R$7*'TUSD BF'!$S$58</f>
        <v>0</v>
      </c>
      <c r="T7" s="13">
        <f ca="1">SUM($L$7:$S$7)</f>
        <v>0</v>
      </c>
      <c r="U7" s="13">
        <f>'TUSD BE'!$U$7*'TUSD BF'!$U$58</f>
        <v>0</v>
      </c>
      <c r="V7" s="13">
        <f>'TUSD BE'!$V$7*'TUSD BF'!$V$58</f>
        <v>0</v>
      </c>
      <c r="W7" s="13">
        <f>'TUSD BE'!$W$7*'TUSD BF'!$W$58</f>
        <v>0</v>
      </c>
      <c r="X7" s="13">
        <f>'TUSD BE'!$X$7*'TUSD BF'!$X$58</f>
        <v>0</v>
      </c>
      <c r="Y7" s="13">
        <f>'TUSD BE'!$Y$7*'TUSD BF'!$Y$58</f>
        <v>0</v>
      </c>
      <c r="Z7" s="13">
        <f>'TUSD BE'!$Z$7*'TUSD BF'!$Z$58</f>
        <v>0</v>
      </c>
      <c r="AA7" s="13">
        <f>'TUSD BE'!$AA$7*'TUSD BF'!$AA$58</f>
        <v>0</v>
      </c>
      <c r="AB7" s="13">
        <f>SUM($U$7:$AA$7)</f>
        <v>0</v>
      </c>
      <c r="AC7" s="13">
        <f>'TUSD BE'!$AC$7*'TUSD BF'!$AC$58</f>
        <v>0</v>
      </c>
      <c r="AD7" s="13">
        <f>SUM($AC$7:$AC$7)</f>
        <v>0</v>
      </c>
      <c r="AE7" s="13">
        <f ca="1">$AO$7*$AO$55</f>
        <v>0</v>
      </c>
      <c r="AF7" s="13">
        <f ca="1">$AP$7*$AP$55</f>
        <v>0</v>
      </c>
      <c r="AG7" s="13">
        <f ca="1">SUM($AE$7:$AF$7)</f>
        <v>0</v>
      </c>
      <c r="AH7" s="13">
        <f>'TUSD BE'!$AH$7*'TUSD BF'!$AH$58</f>
        <v>0</v>
      </c>
      <c r="AI7" s="13">
        <f>'TUSD BE'!$AI$7*'TUSD BF'!$AI$58</f>
        <v>0</v>
      </c>
      <c r="AJ7" s="13">
        <f ca="1">'TUSD BE'!$AJ$7*'TUSD BF'!$AJ$58</f>
        <v>0</v>
      </c>
      <c r="AK7" s="13">
        <f ca="1">'TUSD BE'!$AK$7*'TUSD BF'!$AK$58</f>
        <v>0</v>
      </c>
      <c r="AL7" s="13">
        <f ca="1">SUM($AH$7:$AK$7)</f>
        <v>0</v>
      </c>
      <c r="AM7" s="13">
        <f ca="1">SUMIF($L$4:$AL$4,"SUBTOTAL",$L$7:$AL$7)</f>
        <v>0</v>
      </c>
      <c r="AO7" s="26">
        <f ca="1">+'TUSD BE'!$T$7+'TUSD BE'!$AB$7+'TUSD BE'!$AD$7+'TUSD BE'!$AL$7</f>
        <v>126.31357487375762</v>
      </c>
      <c r="AP7" s="26">
        <f ca="1">+'TUSD BE'!$T$7+'TUSD BE'!$AB$7+'TUSD BE'!$AD$7+'TUSD BE'!$AL$7</f>
        <v>126.31357487375762</v>
      </c>
    </row>
    <row r="8" spans="1:42" ht="11.25" customHeight="1" x14ac:dyDescent="0.25">
      <c r="A8" s="103"/>
      <c r="B8" s="103"/>
      <c r="C8" s="103"/>
      <c r="D8" s="103"/>
      <c r="E8" s="23" t="s">
        <v>68</v>
      </c>
      <c r="F8" s="23" t="s">
        <v>25</v>
      </c>
      <c r="G8" s="24" t="s">
        <v>67</v>
      </c>
      <c r="H8" s="24" t="s">
        <v>60</v>
      </c>
      <c r="I8" s="24">
        <f>'MERCADO TUSD'!$U$5+0.00000001</f>
        <v>1E-8</v>
      </c>
      <c r="J8" s="15"/>
      <c r="L8" s="13">
        <f>'TUSD BE'!$L$8*'TUSD BF'!$L$58</f>
        <v>0</v>
      </c>
      <c r="M8" s="13">
        <f>'TUSD BE'!$M$8*'TUSD BF'!$M$58</f>
        <v>0</v>
      </c>
      <c r="N8" s="13">
        <f ca="1">'TUSD BE'!$N$8*'TUSD BF'!$N$58</f>
        <v>0</v>
      </c>
      <c r="O8" s="13">
        <f>'TUSD BE'!$O$8*'TUSD BF'!$O$58</f>
        <v>0</v>
      </c>
      <c r="P8" s="13">
        <f>'TUSD BE'!$P$8*'TUSD BF'!$P$58</f>
        <v>0</v>
      </c>
      <c r="Q8" s="13">
        <f>'TUSD BE'!$Q$8*'TUSD BF'!$Q$58</f>
        <v>0</v>
      </c>
      <c r="R8" s="13">
        <f>'TUSD BE'!$R$8*'TUSD BF'!$R$58</f>
        <v>0</v>
      </c>
      <c r="S8" s="13">
        <f>'TUSD BE'!$R$8*'TUSD BF'!$S$58</f>
        <v>0</v>
      </c>
      <c r="T8" s="13">
        <f ca="1">SUM($L$8:$S$8)</f>
        <v>0</v>
      </c>
      <c r="U8" s="13">
        <f>'TUSD BE'!$U$8*'TUSD BF'!$U$58</f>
        <v>0</v>
      </c>
      <c r="V8" s="13">
        <f>'TUSD BE'!$V$8*'TUSD BF'!$V$58</f>
        <v>0</v>
      </c>
      <c r="W8" s="13">
        <f>'TUSD BE'!$W$8*'TUSD BF'!$W$58</f>
        <v>0</v>
      </c>
      <c r="X8" s="13">
        <f>'TUSD BE'!$X$8*'TUSD BF'!$X$58</f>
        <v>0</v>
      </c>
      <c r="Y8" s="13">
        <f>'TUSD BE'!$Y$8*'TUSD BF'!$Y$58</f>
        <v>0</v>
      </c>
      <c r="Z8" s="13">
        <f>'TUSD BE'!$Z$8*'TUSD BF'!$Z$58</f>
        <v>0</v>
      </c>
      <c r="AA8" s="13">
        <f>'TUSD BE'!$AA$8*'TUSD BF'!$AA$58</f>
        <v>0</v>
      </c>
      <c r="AB8" s="13">
        <f>SUM($U$8:$AA$8)</f>
        <v>0</v>
      </c>
      <c r="AC8" s="13">
        <f>'TUSD BE'!$AC$8*'TUSD BF'!$AC$58</f>
        <v>0</v>
      </c>
      <c r="AD8" s="13">
        <f>SUM($AC$8:$AC$8)</f>
        <v>0</v>
      </c>
      <c r="AE8" s="13">
        <f ca="1">$AO$8*$AO$55</f>
        <v>0</v>
      </c>
      <c r="AF8" s="13">
        <f ca="1">$AP$8*$AP$55</f>
        <v>0</v>
      </c>
      <c r="AG8" s="13">
        <f ca="1">SUM($AE$8:$AF$8)</f>
        <v>0</v>
      </c>
      <c r="AH8" s="13">
        <f>'TUSD BE'!$AH$8*'TUSD BF'!$AH$58</f>
        <v>0</v>
      </c>
      <c r="AI8" s="13">
        <f>'TUSD BE'!$AI$8*'TUSD BF'!$AI$58</f>
        <v>0</v>
      </c>
      <c r="AJ8" s="13">
        <f ca="1">'TUSD BE'!$AJ$8*'TUSD BF'!$AJ$58</f>
        <v>0</v>
      </c>
      <c r="AK8" s="13">
        <f ca="1">'TUSD BE'!$AK$8*'TUSD BF'!$AK$58</f>
        <v>0</v>
      </c>
      <c r="AL8" s="13">
        <f ca="1">SUM($AH$8:$AK$8)</f>
        <v>0</v>
      </c>
      <c r="AM8" s="13">
        <f ca="1">SUMIF($L$4:$AL$4,"SUBTOTAL",$L$8:$AL$8)</f>
        <v>0</v>
      </c>
      <c r="AO8" s="26">
        <f ca="1">+'TUSD BE'!$T$8+'TUSD BE'!$AB$8+'TUSD BE'!$AD$8+'TUSD BE'!$AL$8</f>
        <v>9.6444188552622769</v>
      </c>
      <c r="AP8" s="26">
        <f ca="1">+'TUSD BE'!$T$8+'TUSD BE'!$AB$8+'TUSD BE'!$AD$8+'TUSD BE'!$AL$8</f>
        <v>9.6444188552622769</v>
      </c>
    </row>
    <row r="9" spans="1:42" ht="11.25" customHeight="1" x14ac:dyDescent="0.25">
      <c r="A9" s="103"/>
      <c r="B9" s="23" t="s">
        <v>69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64</v>
      </c>
      <c r="I9" s="24">
        <f>'MERCADO TUSD'!$U$6+0.00000001</f>
        <v>1E-8</v>
      </c>
      <c r="J9" s="15"/>
      <c r="L9" s="13">
        <f>'TUSD BE'!$L$9*'TUSD BF'!$L$58</f>
        <v>0</v>
      </c>
      <c r="M9" s="13">
        <f>'TUSD BE'!$M$9*'TUSD BF'!$M$58</f>
        <v>0</v>
      </c>
      <c r="N9" s="13">
        <f ca="1">'TUSD BE'!$N$9*'TUSD BF'!$N$58</f>
        <v>0</v>
      </c>
      <c r="O9" s="13">
        <f>'TUSD BE'!$O$9*'TUSD BF'!$O$58</f>
        <v>0</v>
      </c>
      <c r="P9" s="13">
        <f>'TUSD BE'!$P$9*'TUSD BF'!$P$58</f>
        <v>0</v>
      </c>
      <c r="Q9" s="13">
        <f>'TUSD BE'!$Q$9*'TUSD BF'!$Q$58</f>
        <v>0</v>
      </c>
      <c r="R9" s="13">
        <f>'TUSD BE'!$R$9*'TUSD BF'!$R$58</f>
        <v>0</v>
      </c>
      <c r="S9" s="13">
        <f>'TUSD BE'!$R$9*'TUSD BF'!$S$58</f>
        <v>0</v>
      </c>
      <c r="T9" s="13">
        <f ca="1">SUM($L$9:$S$9)</f>
        <v>0</v>
      </c>
      <c r="U9" s="13">
        <f>'TUSD BE'!$U$9*'TUSD BF'!$U$58</f>
        <v>0</v>
      </c>
      <c r="V9" s="13">
        <f>'TUSD BE'!$V$9*'TUSD BF'!$V$58</f>
        <v>0</v>
      </c>
      <c r="W9" s="13">
        <f>'TUSD BE'!$W$9*'TUSD BF'!$W$58</f>
        <v>0</v>
      </c>
      <c r="X9" s="13">
        <f>'TUSD BE'!$X$9*'TUSD BF'!$X$58</f>
        <v>0</v>
      </c>
      <c r="Y9" s="13">
        <f>'TUSD BE'!$Y$9*'TUSD BF'!$Y$58</f>
        <v>0</v>
      </c>
      <c r="Z9" s="13">
        <f>'TUSD BE'!$Z$9*'TUSD BF'!$Z$58</f>
        <v>0</v>
      </c>
      <c r="AA9" s="13">
        <f>'TUSD BE'!$AA$9*'TUSD BF'!$AA$58</f>
        <v>0</v>
      </c>
      <c r="AB9" s="13">
        <f>SUM($U$9:$AA$9)</f>
        <v>0</v>
      </c>
      <c r="AC9" s="13">
        <f>'TUSD BE'!$AC$9*'TUSD BF'!$AC$58</f>
        <v>0</v>
      </c>
      <c r="AD9" s="13">
        <f>SUM($AC$9:$AC$9)</f>
        <v>0</v>
      </c>
      <c r="AE9" s="13">
        <f ca="1">$AO$9*$AO$55</f>
        <v>0</v>
      </c>
      <c r="AF9" s="13">
        <f ca="1">$AP$9*$AP$55</f>
        <v>0</v>
      </c>
      <c r="AG9" s="13">
        <f ca="1">SUM($AE$9:$AF$9)</f>
        <v>0</v>
      </c>
      <c r="AH9" s="13">
        <f>'TUSD BE'!$AH$9*'TUSD BF'!$AH$58</f>
        <v>0</v>
      </c>
      <c r="AI9" s="13">
        <f>'TUSD BE'!$AI$9*'TUSD BF'!$AI$58</f>
        <v>0</v>
      </c>
      <c r="AJ9" s="13">
        <f ca="1">'TUSD BE'!$AJ$9*'TUSD BF'!$AJ$58</f>
        <v>0</v>
      </c>
      <c r="AK9" s="13">
        <f ca="1">'TUSD BE'!$AK$9*'TUSD BF'!$AK$58</f>
        <v>0</v>
      </c>
      <c r="AL9" s="13">
        <f ca="1">SUM($AH$9:$AK$9)</f>
        <v>0</v>
      </c>
      <c r="AM9" s="13">
        <f ca="1">SUMIF($L$4:$AL$4,"SUBTOTAL",$L$9:$AL$9)</f>
        <v>0</v>
      </c>
      <c r="AO9" s="26">
        <f ca="1">+'TUSD BE'!$T$9+'TUSD BE'!$AB$9+'TUSD BE'!$AD$9+'TUSD BE'!$AL$9</f>
        <v>15.124989472541907</v>
      </c>
      <c r="AP9" s="26">
        <f ca="1">+'TUSD BE'!$T$9+'TUSD BE'!$AB$9+'TUSD BE'!$AD$9+'TUSD BE'!$AL$9</f>
        <v>15.124989472541907</v>
      </c>
    </row>
    <row r="10" spans="1:42" ht="11.25" customHeight="1" x14ac:dyDescent="0.25">
      <c r="A10" s="103"/>
      <c r="B10" s="103" t="s">
        <v>70</v>
      </c>
      <c r="C10" s="103" t="s">
        <v>25</v>
      </c>
      <c r="D10" s="103" t="s">
        <v>25</v>
      </c>
      <c r="E10" s="103" t="s">
        <v>25</v>
      </c>
      <c r="F10" s="103" t="s">
        <v>25</v>
      </c>
      <c r="G10" s="24" t="s">
        <v>9</v>
      </c>
      <c r="H10" s="24" t="s">
        <v>64</v>
      </c>
      <c r="I10" s="24">
        <f>'MERCADO TUSD'!$U$7+0.00000001</f>
        <v>1E-8</v>
      </c>
      <c r="J10" s="15"/>
      <c r="L10" s="13">
        <f>'TUSD BE'!$L$10*'TUSD BF'!$L$58</f>
        <v>0</v>
      </c>
      <c r="M10" s="13">
        <f>'TUSD BE'!$M$10*'TUSD BF'!$M$58</f>
        <v>0</v>
      </c>
      <c r="N10" s="13">
        <f ca="1">'TUSD BE'!$N$10*'TUSD BF'!$N$58</f>
        <v>0</v>
      </c>
      <c r="O10" s="13">
        <f>'TUSD BE'!$O$10*'TUSD BF'!$O$58</f>
        <v>0</v>
      </c>
      <c r="P10" s="13">
        <f>'TUSD BE'!$P$10*'TUSD BF'!$P$58</f>
        <v>0</v>
      </c>
      <c r="Q10" s="13">
        <f>'TUSD BE'!$Q$10*'TUSD BF'!$Q$58</f>
        <v>0</v>
      </c>
      <c r="R10" s="13">
        <f>'TUSD BE'!$R$10*'TUSD BF'!$R$58</f>
        <v>0</v>
      </c>
      <c r="S10" s="13">
        <f>'TUSD BE'!$R$10*'TUSD BF'!$S$58</f>
        <v>0</v>
      </c>
      <c r="T10" s="13">
        <f ca="1">SUM($L$10:$S$10)</f>
        <v>0</v>
      </c>
      <c r="U10" s="13">
        <f>'TUSD BE'!$U$10*'TUSD BF'!$U$58</f>
        <v>0</v>
      </c>
      <c r="V10" s="13">
        <f>'TUSD BE'!$V$10*'TUSD BF'!$V$58</f>
        <v>0</v>
      </c>
      <c r="W10" s="13">
        <f>'TUSD BE'!$W$10*'TUSD BF'!$W$58</f>
        <v>0</v>
      </c>
      <c r="X10" s="13">
        <f>'TUSD BE'!$X$10*'TUSD BF'!$X$58</f>
        <v>0</v>
      </c>
      <c r="Y10" s="13">
        <f>'TUSD BE'!$Y$10*'TUSD BF'!$Y$58</f>
        <v>0</v>
      </c>
      <c r="Z10" s="13">
        <f>'TUSD BE'!$Z$10*'TUSD BF'!$Z$58</f>
        <v>0</v>
      </c>
      <c r="AA10" s="13">
        <f>'TUSD BE'!$AA$10*'TUSD BF'!$AA$58</f>
        <v>0</v>
      </c>
      <c r="AB10" s="13">
        <f>SUM($U$10:$AA$10)</f>
        <v>0</v>
      </c>
      <c r="AC10" s="13">
        <f>'TUSD BE'!$AC$10*'TUSD BF'!$AC$58</f>
        <v>0</v>
      </c>
      <c r="AD10" s="13">
        <f>SUM($AC$10:$AC$10)</f>
        <v>0</v>
      </c>
      <c r="AE10" s="13">
        <f ca="1">$AO$10*$AO$55</f>
        <v>0</v>
      </c>
      <c r="AF10" s="13">
        <f ca="1">$AP$10*$AP$55</f>
        <v>0</v>
      </c>
      <c r="AG10" s="13">
        <f ca="1">SUM($AE$10:$AF$10)</f>
        <v>0</v>
      </c>
      <c r="AH10" s="13">
        <f>'TUSD BE'!$AH$10*'TUSD BF'!$AH$58</f>
        <v>0</v>
      </c>
      <c r="AI10" s="13">
        <f>'TUSD BE'!$AI$10*'TUSD BF'!$AI$58</f>
        <v>0</v>
      </c>
      <c r="AJ10" s="13">
        <f ca="1">'TUSD BE'!$AJ$10*'TUSD BF'!$AJ$58</f>
        <v>0</v>
      </c>
      <c r="AK10" s="13">
        <f ca="1">'TUSD BE'!$AK$10*'TUSD BF'!$AK$58</f>
        <v>0</v>
      </c>
      <c r="AL10" s="13">
        <f ca="1">SUM($AH$10:$AK$10)</f>
        <v>0</v>
      </c>
      <c r="AM10" s="13">
        <f ca="1">SUMIF($L$4:$AL$4,"SUBTOTAL",$L$10:$AL$10)</f>
        <v>0</v>
      </c>
      <c r="AO10" s="26">
        <f ca="1">+'TUSD BE'!$T$10+'TUSD BE'!$AB$10+'TUSD BE'!$AD$10+'TUSD BE'!$AL$10</f>
        <v>53.194488915225733</v>
      </c>
      <c r="AP10" s="26">
        <f ca="1">+'TUSD BE'!$T$10+'TUSD BE'!$AB$10+'TUSD BE'!$AD$10+'TUSD BE'!$AL$10</f>
        <v>53.194488915225733</v>
      </c>
    </row>
    <row r="11" spans="1:42" ht="11.25" customHeight="1" x14ac:dyDescent="0.25">
      <c r="A11" s="103"/>
      <c r="B11" s="103"/>
      <c r="C11" s="103"/>
      <c r="D11" s="103"/>
      <c r="E11" s="103"/>
      <c r="F11" s="103"/>
      <c r="G11" s="24" t="s">
        <v>61</v>
      </c>
      <c r="H11" s="24" t="s">
        <v>60</v>
      </c>
      <c r="I11" s="24">
        <f>'MERCADO TUSD'!$U$8+0.00000001</f>
        <v>1E-8</v>
      </c>
      <c r="J11" s="15"/>
      <c r="L11" s="13">
        <f>'TUSD BE'!$L$11*'TUSD BF'!$L$58</f>
        <v>0</v>
      </c>
      <c r="M11" s="13">
        <f>'TUSD BE'!$M$11*'TUSD BF'!$M$58</f>
        <v>0</v>
      </c>
      <c r="N11" s="13">
        <f ca="1">'TUSD BE'!$N$11*'TUSD BF'!$N$58</f>
        <v>0</v>
      </c>
      <c r="O11" s="13">
        <f>'TUSD BE'!$O$11*'TUSD BF'!$O$58</f>
        <v>0</v>
      </c>
      <c r="P11" s="13">
        <f>'TUSD BE'!$P$11*'TUSD BF'!$P$58</f>
        <v>0</v>
      </c>
      <c r="Q11" s="13">
        <f>'TUSD BE'!$Q$11*'TUSD BF'!$Q$58</f>
        <v>0</v>
      </c>
      <c r="R11" s="13">
        <f>'TUSD BE'!$R$11*'TUSD BF'!$R$58</f>
        <v>0</v>
      </c>
      <c r="S11" s="13">
        <f>'TUSD BE'!$R$11*'TUSD BF'!$S$58</f>
        <v>0</v>
      </c>
      <c r="T11" s="13">
        <f ca="1">SUM($L$11:$S$11)</f>
        <v>0</v>
      </c>
      <c r="U11" s="13">
        <f>'TUSD BE'!$U$11*'TUSD BF'!$U$58</f>
        <v>0</v>
      </c>
      <c r="V11" s="13">
        <f>'TUSD BE'!$V$11*'TUSD BF'!$V$58</f>
        <v>0</v>
      </c>
      <c r="W11" s="13">
        <f>'TUSD BE'!$W$11*'TUSD BF'!$W$58</f>
        <v>0</v>
      </c>
      <c r="X11" s="13">
        <f>'TUSD BE'!$X$11*'TUSD BF'!$X$58</f>
        <v>0</v>
      </c>
      <c r="Y11" s="13">
        <f>'TUSD BE'!$Y$11*'TUSD BF'!$Y$58</f>
        <v>0</v>
      </c>
      <c r="Z11" s="13">
        <f>'TUSD BE'!$Z$11*'TUSD BF'!$Z$58</f>
        <v>0</v>
      </c>
      <c r="AA11" s="13">
        <f>'TUSD BE'!$AA$11*'TUSD BF'!$AA$58</f>
        <v>0</v>
      </c>
      <c r="AB11" s="13">
        <f>SUM($U$11:$AA$11)</f>
        <v>0</v>
      </c>
      <c r="AC11" s="13">
        <f>'TUSD BE'!$AC$11*'TUSD BF'!$AC$58</f>
        <v>0</v>
      </c>
      <c r="AD11" s="13">
        <f>SUM($AC$11:$AC$11)</f>
        <v>0</v>
      </c>
      <c r="AE11" s="13">
        <f ca="1">$AO$11*$AO$55</f>
        <v>0</v>
      </c>
      <c r="AF11" s="13">
        <f ca="1">$AP$11*$AP$55</f>
        <v>0</v>
      </c>
      <c r="AG11" s="13">
        <f ca="1">SUM($AE$11:$AF$11)</f>
        <v>0</v>
      </c>
      <c r="AH11" s="13">
        <f>'TUSD BE'!$AH$11*'TUSD BF'!$AH$58</f>
        <v>0</v>
      </c>
      <c r="AI11" s="13">
        <f>'TUSD BE'!$AI$11*'TUSD BF'!$AI$58</f>
        <v>0</v>
      </c>
      <c r="AJ11" s="13">
        <f ca="1">'TUSD BE'!$AJ$11*'TUSD BF'!$AJ$58</f>
        <v>0</v>
      </c>
      <c r="AK11" s="13">
        <f ca="1">'TUSD BE'!$AK$11*'TUSD BF'!$AK$58</f>
        <v>0</v>
      </c>
      <c r="AL11" s="13">
        <f ca="1">SUM($AH$11:$AK$11)</f>
        <v>0</v>
      </c>
      <c r="AM11" s="13">
        <f ca="1">SUMIF($L$4:$AL$4,"SUBTOTAL",$L$11:$AL$11)</f>
        <v>0</v>
      </c>
      <c r="AO11" s="26">
        <f ca="1">+'TUSD BE'!$T$11+'TUSD BE'!$AB$11+'TUSD BE'!$AD$11+'TUSD BE'!$AL$11</f>
        <v>4179.4896584897269</v>
      </c>
      <c r="AP11" s="26">
        <f ca="1">+'TUSD BE'!$T$11+'TUSD BE'!$AB$11+'TUSD BE'!$AD$11+'TUSD BE'!$AL$11</f>
        <v>4179.4896584897269</v>
      </c>
    </row>
    <row r="12" spans="1:42" ht="11.25" customHeight="1" x14ac:dyDescent="0.25">
      <c r="A12" s="103"/>
      <c r="B12" s="103"/>
      <c r="C12" s="103"/>
      <c r="D12" s="103"/>
      <c r="E12" s="103"/>
      <c r="F12" s="103"/>
      <c r="G12" s="24" t="s">
        <v>62</v>
      </c>
      <c r="H12" s="24" t="s">
        <v>60</v>
      </c>
      <c r="I12" s="24">
        <f>'MERCADO TUSD'!$U$9+0.00000001</f>
        <v>1E-8</v>
      </c>
      <c r="J12" s="15"/>
      <c r="L12" s="13">
        <f>'TUSD BE'!$L$12*'TUSD BF'!$L$58</f>
        <v>0</v>
      </c>
      <c r="M12" s="13">
        <f>'TUSD BE'!$M$12*'TUSD BF'!$M$58</f>
        <v>0</v>
      </c>
      <c r="N12" s="13">
        <f ca="1">'TUSD BE'!$N$12*'TUSD BF'!$N$58</f>
        <v>0</v>
      </c>
      <c r="O12" s="13">
        <f>'TUSD BE'!$O$12*'TUSD BF'!$O$58</f>
        <v>0</v>
      </c>
      <c r="P12" s="13">
        <f>'TUSD BE'!$P$12*'TUSD BF'!$P$58</f>
        <v>0</v>
      </c>
      <c r="Q12" s="13">
        <f>'TUSD BE'!$Q$12*'TUSD BF'!$Q$58</f>
        <v>0</v>
      </c>
      <c r="R12" s="13">
        <f>'TUSD BE'!$R$12*'TUSD BF'!$R$58</f>
        <v>0</v>
      </c>
      <c r="S12" s="13">
        <f>'TUSD BE'!$R$12*'TUSD BF'!$S$58</f>
        <v>0</v>
      </c>
      <c r="T12" s="13">
        <f ca="1">SUM($L$12:$S$12)</f>
        <v>0</v>
      </c>
      <c r="U12" s="13">
        <f>'TUSD BE'!$U$12*'TUSD BF'!$U$58</f>
        <v>0</v>
      </c>
      <c r="V12" s="13">
        <f>'TUSD BE'!$V$12*'TUSD BF'!$V$58</f>
        <v>0</v>
      </c>
      <c r="W12" s="13">
        <f>'TUSD BE'!$W$12*'TUSD BF'!$W$58</f>
        <v>0</v>
      </c>
      <c r="X12" s="13">
        <f>'TUSD BE'!$X$12*'TUSD BF'!$X$58</f>
        <v>0</v>
      </c>
      <c r="Y12" s="13">
        <f>'TUSD BE'!$Y$12*'TUSD BF'!$Y$58</f>
        <v>0</v>
      </c>
      <c r="Z12" s="13">
        <f>'TUSD BE'!$Z$12*'TUSD BF'!$Z$58</f>
        <v>0</v>
      </c>
      <c r="AA12" s="13">
        <f>'TUSD BE'!$AA$12*'TUSD BF'!$AA$58</f>
        <v>0</v>
      </c>
      <c r="AB12" s="13">
        <f>SUM($U$12:$AA$12)</f>
        <v>0</v>
      </c>
      <c r="AC12" s="13">
        <f>'TUSD BE'!$AC$12*'TUSD BF'!$AC$58</f>
        <v>0</v>
      </c>
      <c r="AD12" s="13">
        <f>SUM($AC$12:$AC$12)</f>
        <v>0</v>
      </c>
      <c r="AE12" s="13">
        <f ca="1">$AO$12*$AO$55</f>
        <v>0</v>
      </c>
      <c r="AF12" s="13">
        <f ca="1">$AP$12*$AP$55</f>
        <v>0</v>
      </c>
      <c r="AG12" s="13">
        <f ca="1">SUM($AE$12:$AF$12)</f>
        <v>0</v>
      </c>
      <c r="AH12" s="13">
        <f>'TUSD BE'!$AH$12*'TUSD BF'!$AH$58</f>
        <v>0</v>
      </c>
      <c r="AI12" s="13">
        <f>'TUSD BE'!$AI$12*'TUSD BF'!$AI$58</f>
        <v>0</v>
      </c>
      <c r="AJ12" s="13">
        <f ca="1">'TUSD BE'!$AJ$12*'TUSD BF'!$AJ$58</f>
        <v>0</v>
      </c>
      <c r="AK12" s="13">
        <f ca="1">'TUSD BE'!$AK$12*'TUSD BF'!$AK$58</f>
        <v>0</v>
      </c>
      <c r="AL12" s="13">
        <f ca="1">SUM($AH$12:$AK$12)</f>
        <v>0</v>
      </c>
      <c r="AM12" s="13">
        <f ca="1">SUMIF($L$4:$AL$4,"SUBTOTAL",$L$12:$AL$12)</f>
        <v>0</v>
      </c>
      <c r="AO12" s="26">
        <f ca="1">+'TUSD BE'!$T$12+'TUSD BE'!$AB$12+'TUSD BE'!$AD$12+'TUSD BE'!$AL$12</f>
        <v>126.31357487375762</v>
      </c>
      <c r="AP12" s="26">
        <f ca="1">+'TUSD BE'!$T$12+'TUSD BE'!$AB$12+'TUSD BE'!$AD$12+'TUSD BE'!$AL$12</f>
        <v>126.31357487375762</v>
      </c>
    </row>
    <row r="13" spans="1:42" ht="11.25" customHeight="1" x14ac:dyDescent="0.25">
      <c r="A13" s="103"/>
      <c r="B13" s="103"/>
      <c r="C13" s="103"/>
      <c r="D13" s="103"/>
      <c r="E13" s="103" t="s">
        <v>68</v>
      </c>
      <c r="F13" s="103" t="s">
        <v>25</v>
      </c>
      <c r="G13" s="24" t="s">
        <v>61</v>
      </c>
      <c r="H13" s="24" t="s">
        <v>60</v>
      </c>
      <c r="I13" s="24">
        <f>'MERCADO TUSD'!$U$10+0.00000001</f>
        <v>1E-8</v>
      </c>
      <c r="J13" s="15"/>
      <c r="L13" s="13">
        <f>'TUSD BE'!$L$13*'TUSD BF'!$L$58</f>
        <v>0</v>
      </c>
      <c r="M13" s="13">
        <f>'TUSD BE'!$M$13*'TUSD BF'!$M$58</f>
        <v>0</v>
      </c>
      <c r="N13" s="13">
        <f ca="1">'TUSD BE'!$N$13*'TUSD BF'!$N$58</f>
        <v>0</v>
      </c>
      <c r="O13" s="13">
        <f>'TUSD BE'!$O$13*'TUSD BF'!$O$58</f>
        <v>0</v>
      </c>
      <c r="P13" s="13">
        <f>'TUSD BE'!$P$13*'TUSD BF'!$P$58</f>
        <v>0</v>
      </c>
      <c r="Q13" s="13">
        <f>'TUSD BE'!$Q$13*'TUSD BF'!$Q$58</f>
        <v>0</v>
      </c>
      <c r="R13" s="13">
        <f>'TUSD BE'!$R$13*'TUSD BF'!$R$58</f>
        <v>0</v>
      </c>
      <c r="S13" s="13">
        <f>'TUSD BE'!$R$13*'TUSD BF'!$S$58</f>
        <v>0</v>
      </c>
      <c r="T13" s="13">
        <f ca="1">SUM($L$13:$S$13)</f>
        <v>0</v>
      </c>
      <c r="U13" s="13">
        <f>'TUSD BE'!$U$13*'TUSD BF'!$U$58</f>
        <v>0</v>
      </c>
      <c r="V13" s="13">
        <f>'TUSD BE'!$V$13*'TUSD BF'!$V$58</f>
        <v>0</v>
      </c>
      <c r="W13" s="13">
        <f>'TUSD BE'!$W$13*'TUSD BF'!$W$58</f>
        <v>0</v>
      </c>
      <c r="X13" s="13">
        <f>'TUSD BE'!$X$13*'TUSD BF'!$X$58</f>
        <v>0</v>
      </c>
      <c r="Y13" s="13">
        <f>'TUSD BE'!$Y$13*'TUSD BF'!$Y$58</f>
        <v>0</v>
      </c>
      <c r="Z13" s="13">
        <f>'TUSD BE'!$Z$13*'TUSD BF'!$Z$58</f>
        <v>0</v>
      </c>
      <c r="AA13" s="13">
        <f>'TUSD BE'!$AA$13*'TUSD BF'!$AA$58</f>
        <v>0</v>
      </c>
      <c r="AB13" s="13">
        <f>SUM($U$13:$AA$13)</f>
        <v>0</v>
      </c>
      <c r="AC13" s="13">
        <f>'TUSD BE'!$AC$13*'TUSD BF'!$AC$58</f>
        <v>0</v>
      </c>
      <c r="AD13" s="13">
        <f>SUM($AC$13:$AC$13)</f>
        <v>0</v>
      </c>
      <c r="AE13" s="13">
        <f ca="1">$AO$13*$AO$55</f>
        <v>0</v>
      </c>
      <c r="AF13" s="13">
        <f ca="1">$AP$13*$AP$55</f>
        <v>0</v>
      </c>
      <c r="AG13" s="13">
        <f ca="1">SUM($AE$13:$AF$13)</f>
        <v>0</v>
      </c>
      <c r="AH13" s="13">
        <f>'TUSD BE'!$AH$13*'TUSD BF'!$AH$58</f>
        <v>0</v>
      </c>
      <c r="AI13" s="13">
        <f>'TUSD BE'!$AI$13*'TUSD BF'!$AI$58</f>
        <v>0</v>
      </c>
      <c r="AJ13" s="13">
        <f ca="1">'TUSD BE'!$AJ$13*'TUSD BF'!$AJ$58</f>
        <v>0</v>
      </c>
      <c r="AK13" s="13">
        <f ca="1">'TUSD BE'!$AK$13*'TUSD BF'!$AK$58</f>
        <v>0</v>
      </c>
      <c r="AL13" s="13">
        <f ca="1">SUM($AH$13:$AK$13)</f>
        <v>0</v>
      </c>
      <c r="AM13" s="13">
        <f ca="1">SUMIF($L$4:$AL$4,"SUBTOTAL",$L$13:$AL$13)</f>
        <v>0</v>
      </c>
      <c r="AO13" s="26">
        <f ca="1">+'TUSD BE'!$T$13+'TUSD BE'!$AB$13+'TUSD BE'!$AD$13+'TUSD BE'!$AL$13</f>
        <v>4062.820502471232</v>
      </c>
      <c r="AP13" s="26">
        <f ca="1">+'TUSD BE'!$T$13+'TUSD BE'!$AB$13+'TUSD BE'!$AD$13+'TUSD BE'!$AL$13</f>
        <v>4062.820502471232</v>
      </c>
    </row>
    <row r="14" spans="1:42" ht="11.25" customHeight="1" x14ac:dyDescent="0.25">
      <c r="A14" s="103"/>
      <c r="B14" s="103"/>
      <c r="C14" s="103"/>
      <c r="D14" s="103"/>
      <c r="E14" s="103"/>
      <c r="F14" s="103"/>
      <c r="G14" s="24" t="s">
        <v>62</v>
      </c>
      <c r="H14" s="24" t="s">
        <v>60</v>
      </c>
      <c r="I14" s="24">
        <f>'MERCADO TUSD'!$U$11+0.00000001</f>
        <v>1E-8</v>
      </c>
      <c r="J14" s="15"/>
      <c r="L14" s="13">
        <f>'TUSD BE'!$L$14*'TUSD BF'!$L$58</f>
        <v>0</v>
      </c>
      <c r="M14" s="13">
        <f>'TUSD BE'!$M$14*'TUSD BF'!$M$58</f>
        <v>0</v>
      </c>
      <c r="N14" s="13">
        <f ca="1">'TUSD BE'!$N$14*'TUSD BF'!$N$58</f>
        <v>0</v>
      </c>
      <c r="O14" s="13">
        <f>'TUSD BE'!$O$14*'TUSD BF'!$O$58</f>
        <v>0</v>
      </c>
      <c r="P14" s="13">
        <f>'TUSD BE'!$P$14*'TUSD BF'!$P$58</f>
        <v>0</v>
      </c>
      <c r="Q14" s="13">
        <f>'TUSD BE'!$Q$14*'TUSD BF'!$Q$58</f>
        <v>0</v>
      </c>
      <c r="R14" s="13">
        <f>'TUSD BE'!$R$14*'TUSD BF'!$R$58</f>
        <v>0</v>
      </c>
      <c r="S14" s="13">
        <f>'TUSD BE'!$R$14*'TUSD BF'!$S$58</f>
        <v>0</v>
      </c>
      <c r="T14" s="13">
        <f ca="1">SUM($L$14:$S$14)</f>
        <v>0</v>
      </c>
      <c r="U14" s="13">
        <f>'TUSD BE'!$U$14*'TUSD BF'!$U$58</f>
        <v>0</v>
      </c>
      <c r="V14" s="13">
        <f>'TUSD BE'!$V$14*'TUSD BF'!$V$58</f>
        <v>0</v>
      </c>
      <c r="W14" s="13">
        <f>'TUSD BE'!$W$14*'TUSD BF'!$W$58</f>
        <v>0</v>
      </c>
      <c r="X14" s="13">
        <f>'TUSD BE'!$X$14*'TUSD BF'!$X$58</f>
        <v>0</v>
      </c>
      <c r="Y14" s="13">
        <f>'TUSD BE'!$Y$14*'TUSD BF'!$Y$58</f>
        <v>0</v>
      </c>
      <c r="Z14" s="13">
        <f>'TUSD BE'!$Z$14*'TUSD BF'!$Z$58</f>
        <v>0</v>
      </c>
      <c r="AA14" s="13">
        <f>'TUSD BE'!$AA$14*'TUSD BF'!$AA$58</f>
        <v>0</v>
      </c>
      <c r="AB14" s="13">
        <f>SUM($U$14:$AA$14)</f>
        <v>0</v>
      </c>
      <c r="AC14" s="13">
        <f>'TUSD BE'!$AC$14*'TUSD BF'!$AC$58</f>
        <v>0</v>
      </c>
      <c r="AD14" s="13">
        <f>SUM($AC$14:$AC$14)</f>
        <v>0</v>
      </c>
      <c r="AE14" s="13">
        <f ca="1">$AO$14*$AO$55</f>
        <v>0</v>
      </c>
      <c r="AF14" s="13">
        <f ca="1">$AP$14*$AP$55</f>
        <v>0</v>
      </c>
      <c r="AG14" s="13">
        <f ca="1">SUM($AE$14:$AF$14)</f>
        <v>0</v>
      </c>
      <c r="AH14" s="13">
        <f>'TUSD BE'!$AH$14*'TUSD BF'!$AH$58</f>
        <v>0</v>
      </c>
      <c r="AI14" s="13">
        <f>'TUSD BE'!$AI$14*'TUSD BF'!$AI$58</f>
        <v>0</v>
      </c>
      <c r="AJ14" s="13">
        <f ca="1">'TUSD BE'!$AJ$14*'TUSD BF'!$AJ$58</f>
        <v>0</v>
      </c>
      <c r="AK14" s="13">
        <f ca="1">'TUSD BE'!$AK$14*'TUSD BF'!$AK$58</f>
        <v>0</v>
      </c>
      <c r="AL14" s="13">
        <f ca="1">SUM($AH$14:$AK$14)</f>
        <v>0</v>
      </c>
      <c r="AM14" s="13">
        <f ca="1">SUMIF($L$4:$AL$4,"SUBTOTAL",$L$14:$AL$14)</f>
        <v>0</v>
      </c>
      <c r="AO14" s="26">
        <f ca="1">+'TUSD BE'!$T$14+'TUSD BE'!$AB$14+'TUSD BE'!$AD$14+'TUSD BE'!$AL$14</f>
        <v>9.6444188552622769</v>
      </c>
      <c r="AP14" s="26">
        <f ca="1">+'TUSD BE'!$T$14+'TUSD BE'!$AB$14+'TUSD BE'!$AD$14+'TUSD BE'!$AL$14</f>
        <v>9.6444188552622769</v>
      </c>
    </row>
    <row r="15" spans="1:42" ht="11.25" customHeight="1" x14ac:dyDescent="0.25">
      <c r="A15" s="103" t="s">
        <v>71</v>
      </c>
      <c r="B15" s="103" t="s">
        <v>69</v>
      </c>
      <c r="C15" s="103" t="s">
        <v>25</v>
      </c>
      <c r="D15" s="103" t="s">
        <v>25</v>
      </c>
      <c r="E15" s="23" t="s">
        <v>72</v>
      </c>
      <c r="F15" s="23" t="s">
        <v>25</v>
      </c>
      <c r="G15" s="24" t="s">
        <v>9</v>
      </c>
      <c r="H15" s="24" t="s">
        <v>64</v>
      </c>
      <c r="I15" s="24">
        <f>'MERCADO TUSD'!$U$12+0.00000001</f>
        <v>1E-8</v>
      </c>
      <c r="J15" s="15"/>
      <c r="L15" s="13">
        <f>'TUSD BE'!$L$15*'TUSD BF'!$L$58</f>
        <v>0</v>
      </c>
      <c r="M15" s="13">
        <f>'TUSD BE'!$M$15*'TUSD BF'!$M$58</f>
        <v>0</v>
      </c>
      <c r="N15" s="13">
        <f ca="1">'TUSD BE'!$N$15*'TUSD BF'!$N$58</f>
        <v>0</v>
      </c>
      <c r="O15" s="13">
        <f>'TUSD BE'!$O$15*'TUSD BF'!$O$58</f>
        <v>0</v>
      </c>
      <c r="P15" s="13">
        <f>'TUSD BE'!$P$15*'TUSD BF'!$P$58</f>
        <v>0</v>
      </c>
      <c r="Q15" s="13">
        <f>'TUSD BE'!$Q$15*'TUSD BF'!$Q$58</f>
        <v>0</v>
      </c>
      <c r="R15" s="13">
        <f>'TUSD BE'!$R$15*'TUSD BF'!$R$58</f>
        <v>0</v>
      </c>
      <c r="S15" s="13">
        <f>'TUSD BE'!$R$15*'TUSD BF'!$S$58</f>
        <v>0</v>
      </c>
      <c r="T15" s="13">
        <f ca="1">SUM($L$15:$S$15)</f>
        <v>0</v>
      </c>
      <c r="U15" s="13">
        <f>'TUSD BE'!$U$15*'TUSD BF'!$U$58</f>
        <v>0</v>
      </c>
      <c r="V15" s="13">
        <f>'TUSD BE'!$V$15*'TUSD BF'!$V$58</f>
        <v>0</v>
      </c>
      <c r="W15" s="13">
        <f>'TUSD BE'!$W$15*'TUSD BF'!$W$58</f>
        <v>0</v>
      </c>
      <c r="X15" s="13">
        <f>'TUSD BE'!$X$15*'TUSD BF'!$X$58</f>
        <v>0</v>
      </c>
      <c r="Y15" s="13">
        <f>'TUSD BE'!$Y$15*'TUSD BF'!$Y$58</f>
        <v>0</v>
      </c>
      <c r="Z15" s="13">
        <f>'TUSD BE'!$Z$15*'TUSD BF'!$Z$58</f>
        <v>0</v>
      </c>
      <c r="AA15" s="13">
        <f>'TUSD BE'!$AA$15*'TUSD BF'!$AA$58</f>
        <v>0</v>
      </c>
      <c r="AB15" s="13">
        <f>SUM($U$15:$AA$15)</f>
        <v>0</v>
      </c>
      <c r="AC15" s="13">
        <f>'TUSD BE'!$AC$15*'TUSD BF'!$AC$58</f>
        <v>0</v>
      </c>
      <c r="AD15" s="13">
        <f>SUM($AC$15:$AC$15)</f>
        <v>0</v>
      </c>
      <c r="AE15" s="13">
        <f ca="1">$AO$15*$AO$55</f>
        <v>0</v>
      </c>
      <c r="AF15" s="13">
        <f ca="1">$AP$15*$AP$55</f>
        <v>0</v>
      </c>
      <c r="AG15" s="13">
        <f ca="1">SUM($AE$15:$AF$15)</f>
        <v>0</v>
      </c>
      <c r="AH15" s="13">
        <f>'TUSD BE'!$AH$15*'TUSD BF'!$AH$58</f>
        <v>0</v>
      </c>
      <c r="AI15" s="13">
        <f>'TUSD BE'!$AI$15*'TUSD BF'!$AI$58</f>
        <v>0</v>
      </c>
      <c r="AJ15" s="13">
        <f ca="1">'TUSD BE'!$AJ$15*'TUSD BF'!$AJ$58</f>
        <v>0</v>
      </c>
      <c r="AK15" s="13">
        <f ca="1">'TUSD BE'!$AK$15*'TUSD BF'!$AK$58</f>
        <v>0</v>
      </c>
      <c r="AL15" s="13">
        <f ca="1">SUM($AH$15:$AK$15)</f>
        <v>0</v>
      </c>
      <c r="AM15" s="13">
        <f ca="1">SUMIF($L$4:$AL$4,"SUBTOTAL",$L$15:$AL$15)</f>
        <v>0</v>
      </c>
      <c r="AO15" s="26">
        <f ca="1">+'TUSD BE'!$T$15+'TUSD BE'!$AB$15+'TUSD BE'!$AD$15+'TUSD BE'!$AL$15</f>
        <v>15.601227189257413</v>
      </c>
      <c r="AP15" s="26">
        <f ca="1">+'TUSD BE'!$T$15+'TUSD BE'!$AB$15+'TUSD BE'!$AD$15+'TUSD BE'!$AL$15</f>
        <v>15.601227189257413</v>
      </c>
    </row>
    <row r="16" spans="1:42" ht="11.25" customHeight="1" x14ac:dyDescent="0.25">
      <c r="A16" s="103"/>
      <c r="B16" s="103"/>
      <c r="C16" s="103"/>
      <c r="D16" s="103"/>
      <c r="E16" s="23" t="s">
        <v>73</v>
      </c>
      <c r="F16" s="23" t="s">
        <v>25</v>
      </c>
      <c r="G16" s="24" t="s">
        <v>9</v>
      </c>
      <c r="H16" s="24" t="s">
        <v>64</v>
      </c>
      <c r="I16" s="24">
        <f>'MERCADO TUSD'!$U$13+0.00000001</f>
        <v>1E-8</v>
      </c>
      <c r="J16" s="15"/>
      <c r="L16" s="13">
        <f>'TUSD BE'!$L$16*'TUSD BF'!$L$58</f>
        <v>0</v>
      </c>
      <c r="M16" s="13">
        <f>'TUSD BE'!$M$16*'TUSD BF'!$M$58</f>
        <v>0</v>
      </c>
      <c r="N16" s="13">
        <f ca="1">'TUSD BE'!$N$16*'TUSD BF'!$N$58</f>
        <v>0</v>
      </c>
      <c r="O16" s="13">
        <f>'TUSD BE'!$O$16*'TUSD BF'!$O$58</f>
        <v>0</v>
      </c>
      <c r="P16" s="13">
        <f>'TUSD BE'!$P$16*'TUSD BF'!$P$58</f>
        <v>0</v>
      </c>
      <c r="Q16" s="13">
        <f>'TUSD BE'!$Q$16*'TUSD BF'!$Q$58</f>
        <v>0</v>
      </c>
      <c r="R16" s="13">
        <f>'TUSD BE'!$R$16*'TUSD BF'!$R$58</f>
        <v>0</v>
      </c>
      <c r="S16" s="13">
        <f>'TUSD BE'!$R$16*'TUSD BF'!$S$58</f>
        <v>0</v>
      </c>
      <c r="T16" s="13">
        <f ca="1">SUM($L$16:$S$16)</f>
        <v>0</v>
      </c>
      <c r="U16" s="13">
        <f>'TUSD BE'!$U$16*'TUSD BF'!$U$58</f>
        <v>0</v>
      </c>
      <c r="V16" s="13">
        <f>'TUSD BE'!$V$16*'TUSD BF'!$V$58</f>
        <v>0</v>
      </c>
      <c r="W16" s="13">
        <f>'TUSD BE'!$W$16*'TUSD BF'!$W$58</f>
        <v>0</v>
      </c>
      <c r="X16" s="13">
        <f>'TUSD BE'!$X$16*'TUSD BF'!$X$58</f>
        <v>0</v>
      </c>
      <c r="Y16" s="13">
        <f>'TUSD BE'!$Y$16*'TUSD BF'!$Y$58</f>
        <v>0</v>
      </c>
      <c r="Z16" s="13">
        <f>'TUSD BE'!$Z$16*'TUSD BF'!$Z$58</f>
        <v>0</v>
      </c>
      <c r="AA16" s="13">
        <f>'TUSD BE'!$AA$16*'TUSD BF'!$AA$58</f>
        <v>0</v>
      </c>
      <c r="AB16" s="13">
        <f>SUM($U$16:$AA$16)</f>
        <v>0</v>
      </c>
      <c r="AC16" s="13">
        <f>'TUSD BE'!$AC$16*'TUSD BF'!$AC$58</f>
        <v>0</v>
      </c>
      <c r="AD16" s="13">
        <f>SUM($AC$16:$AC$16)</f>
        <v>0</v>
      </c>
      <c r="AE16" s="13">
        <f ca="1">$AO$16*$AO$55</f>
        <v>0</v>
      </c>
      <c r="AF16" s="13">
        <f ca="1">$AP$16*$AP$55</f>
        <v>0</v>
      </c>
      <c r="AG16" s="13">
        <f ca="1">SUM($AE$16:$AF$16)</f>
        <v>0</v>
      </c>
      <c r="AH16" s="13">
        <f>'TUSD BE'!$AH$16*'TUSD BF'!$AH$58</f>
        <v>0</v>
      </c>
      <c r="AI16" s="13">
        <f>'TUSD BE'!$AI$16*'TUSD BF'!$AI$58</f>
        <v>0</v>
      </c>
      <c r="AJ16" s="13">
        <f ca="1">'TUSD BE'!$AJ$16*'TUSD BF'!$AJ$58</f>
        <v>0</v>
      </c>
      <c r="AK16" s="13">
        <f ca="1">'TUSD BE'!$AK$16*'TUSD BF'!$AK$58</f>
        <v>0</v>
      </c>
      <c r="AL16" s="13">
        <f ca="1">SUM($AH$16:$AK$16)</f>
        <v>0</v>
      </c>
      <c r="AM16" s="13">
        <f ca="1">SUMIF($L$4:$AL$4,"SUBTOTAL",$L$16:$AL$16)</f>
        <v>0</v>
      </c>
      <c r="AO16" s="26">
        <f ca="1">+'TUSD BE'!$T$16+'TUSD BE'!$AB$16+'TUSD BE'!$AD$16+'TUSD BE'!$AL$16</f>
        <v>31.730157729500796</v>
      </c>
      <c r="AP16" s="26">
        <f ca="1">+'TUSD BE'!$T$16+'TUSD BE'!$AB$16+'TUSD BE'!$AD$16+'TUSD BE'!$AL$16</f>
        <v>31.730157729500796</v>
      </c>
    </row>
    <row r="17" spans="1:42" ht="11.25" customHeight="1" x14ac:dyDescent="0.25">
      <c r="A17" s="103" t="s">
        <v>22</v>
      </c>
      <c r="B17" s="103" t="s">
        <v>76</v>
      </c>
      <c r="C17" s="103" t="s">
        <v>24</v>
      </c>
      <c r="D17" s="103" t="s">
        <v>24</v>
      </c>
      <c r="E17" s="103" t="s">
        <v>25</v>
      </c>
      <c r="F17" s="103" t="s">
        <v>25</v>
      </c>
      <c r="G17" s="24" t="s">
        <v>61</v>
      </c>
      <c r="H17" s="24" t="s">
        <v>60</v>
      </c>
      <c r="I17" s="24">
        <f>'MERCADO TUSD'!$U$14</f>
        <v>0</v>
      </c>
      <c r="J17" s="15"/>
      <c r="L17" s="13">
        <f>'TUSD BE'!$L$17*'TUSD BF'!$L$58</f>
        <v>0</v>
      </c>
      <c r="M17" s="13">
        <f>'TUSD BE'!$M$17*'TUSD BF'!$M$58</f>
        <v>0</v>
      </c>
      <c r="N17" s="13">
        <f ca="1">'TUSD BE'!$N$17*'TUSD BF'!$N$58</f>
        <v>0</v>
      </c>
      <c r="O17" s="13">
        <f>'TUSD BE'!$O$17*'TUSD BF'!$O$58</f>
        <v>0</v>
      </c>
      <c r="P17" s="13">
        <f>'TUSD BE'!$P$17*'TUSD BF'!$P$58</f>
        <v>0</v>
      </c>
      <c r="Q17" s="13">
        <f>'TUSD BE'!$Q$17*'TUSD BF'!$Q$58</f>
        <v>0</v>
      </c>
      <c r="R17" s="13">
        <f>'TUSD BE'!$R$17*'TUSD BF'!$R$58</f>
        <v>0</v>
      </c>
      <c r="S17" s="13">
        <f>'TUSD BE'!$R$17*'TUSD BF'!$S$58</f>
        <v>0</v>
      </c>
      <c r="T17" s="13">
        <f ca="1">SUM($L$17:$S$17)</f>
        <v>0</v>
      </c>
      <c r="U17" s="13">
        <f>'TUSD BE'!$U$17*'TUSD BF'!$U$58</f>
        <v>0</v>
      </c>
      <c r="V17" s="13">
        <f>'TUSD BE'!$V$17*'TUSD BF'!$V$58</f>
        <v>0</v>
      </c>
      <c r="W17" s="13">
        <f>'TUSD BE'!$W$17*'TUSD BF'!$W$58</f>
        <v>0</v>
      </c>
      <c r="X17" s="13">
        <f>'TUSD BE'!$X$17*'TUSD BF'!$X$58</f>
        <v>0</v>
      </c>
      <c r="Y17" s="13">
        <f>'TUSD BE'!$Y$17*'TUSD BF'!$Y$58</f>
        <v>0</v>
      </c>
      <c r="Z17" s="13">
        <f>'TUSD BE'!$Z$17*'TUSD BF'!$Z$58</f>
        <v>0</v>
      </c>
      <c r="AA17" s="13">
        <f>'TUSD BE'!$AA$17*'TUSD BF'!$AA$58</f>
        <v>0</v>
      </c>
      <c r="AB17" s="13">
        <f>SUM($U$17:$AA$17)</f>
        <v>0</v>
      </c>
      <c r="AC17" s="13">
        <f>'TUSD BE'!$AC$17*'TUSD BF'!$AC$58</f>
        <v>0</v>
      </c>
      <c r="AD17" s="13">
        <f>SUM($AC$17:$AC$17)</f>
        <v>0</v>
      </c>
      <c r="AE17" s="13">
        <f ca="1">$AO$17*$AO$55</f>
        <v>0</v>
      </c>
      <c r="AF17" s="13">
        <f ca="1">$AP$17*$AP$55</f>
        <v>0</v>
      </c>
      <c r="AG17" s="13">
        <f ca="1">SUM($AE$17:$AF$17)</f>
        <v>0</v>
      </c>
      <c r="AH17" s="13">
        <f>'TUSD BE'!$AH$17*'TUSD BF'!$AH$58</f>
        <v>0</v>
      </c>
      <c r="AI17" s="13">
        <f>'TUSD BE'!$AI$17*'TUSD BF'!$AI$58</f>
        <v>0</v>
      </c>
      <c r="AJ17" s="13">
        <f ca="1">'TUSD BE'!$AJ$17*'TUSD BF'!$AJ$58</f>
        <v>0</v>
      </c>
      <c r="AK17" s="13">
        <f ca="1">'TUSD BE'!$AK$17*'TUSD BF'!$AK$58</f>
        <v>0</v>
      </c>
      <c r="AL17" s="13">
        <f ca="1">SUM($AH$17:$AK$17)</f>
        <v>0</v>
      </c>
      <c r="AM17" s="13">
        <f ca="1">SUMIF($L$4:$AL$4,"SUBTOTAL",$L$17:$AL$17)</f>
        <v>0</v>
      </c>
      <c r="AO17" s="26">
        <f ca="1">+'TUSD BE'!$T$17+'TUSD BE'!$AB$17+'TUSD BE'!$AD$17+'TUSD BE'!$AL$17</f>
        <v>1926.2583065669212</v>
      </c>
      <c r="AP17" s="26">
        <f ca="1">+'TUSD BE'!$T$17+'TUSD BE'!$AB$17+'TUSD BE'!$AD$17+'TUSD BE'!$AL$17</f>
        <v>1926.2583065669212</v>
      </c>
    </row>
    <row r="18" spans="1:42" ht="11.25" customHeight="1" x14ac:dyDescent="0.25">
      <c r="A18" s="103"/>
      <c r="B18" s="103"/>
      <c r="C18" s="103"/>
      <c r="D18" s="103"/>
      <c r="E18" s="103"/>
      <c r="F18" s="103"/>
      <c r="G18" s="24" t="s">
        <v>74</v>
      </c>
      <c r="H18" s="24" t="s">
        <v>60</v>
      </c>
      <c r="I18" s="24">
        <f>'MERCADO TUSD'!$U$15</f>
        <v>0</v>
      </c>
      <c r="J18" s="15"/>
      <c r="L18" s="13">
        <f>'TUSD BE'!$L$18*'TUSD BF'!$L$58</f>
        <v>0</v>
      </c>
      <c r="M18" s="13">
        <f>'TUSD BE'!$M$18*'TUSD BF'!$M$58</f>
        <v>0</v>
      </c>
      <c r="N18" s="13">
        <f ca="1">'TUSD BE'!$N$18*'TUSD BF'!$N$58</f>
        <v>0</v>
      </c>
      <c r="O18" s="13">
        <f>'TUSD BE'!$O$18*'TUSD BF'!$O$58</f>
        <v>0</v>
      </c>
      <c r="P18" s="13">
        <f>'TUSD BE'!$P$18*'TUSD BF'!$P$58</f>
        <v>0</v>
      </c>
      <c r="Q18" s="13">
        <f>'TUSD BE'!$Q$18*'TUSD BF'!$Q$58</f>
        <v>0</v>
      </c>
      <c r="R18" s="13">
        <f>'TUSD BE'!$R$18*'TUSD BF'!$R$58</f>
        <v>0</v>
      </c>
      <c r="S18" s="13">
        <f>'TUSD BE'!$R$18*'TUSD BF'!$S$58</f>
        <v>0</v>
      </c>
      <c r="T18" s="13">
        <f ca="1">SUM($L$18:$S$18)</f>
        <v>0</v>
      </c>
      <c r="U18" s="13">
        <f>'TUSD BE'!$U$18*'TUSD BF'!$U$58</f>
        <v>0</v>
      </c>
      <c r="V18" s="13">
        <f>'TUSD BE'!$V$18*'TUSD BF'!$V$58</f>
        <v>0</v>
      </c>
      <c r="W18" s="13">
        <f>'TUSD BE'!$W$18*'TUSD BF'!$W$58</f>
        <v>0</v>
      </c>
      <c r="X18" s="13">
        <f>'TUSD BE'!$X$18*'TUSD BF'!$X$58</f>
        <v>0</v>
      </c>
      <c r="Y18" s="13">
        <f>'TUSD BE'!$Y$18*'TUSD BF'!$Y$58</f>
        <v>0</v>
      </c>
      <c r="Z18" s="13">
        <f>'TUSD BE'!$Z$18*'TUSD BF'!$Z$58</f>
        <v>0</v>
      </c>
      <c r="AA18" s="13">
        <f>'TUSD BE'!$AA$18*'TUSD BF'!$AA$58</f>
        <v>0</v>
      </c>
      <c r="AB18" s="13">
        <f>SUM($U$18:$AA$18)</f>
        <v>0</v>
      </c>
      <c r="AC18" s="13">
        <f>'TUSD BE'!$AC$18*'TUSD BF'!$AC$58</f>
        <v>0</v>
      </c>
      <c r="AD18" s="13">
        <f>SUM($AC$18:$AC$18)</f>
        <v>0</v>
      </c>
      <c r="AE18" s="13">
        <f ca="1">$AO$18*$AO$55</f>
        <v>0</v>
      </c>
      <c r="AF18" s="13">
        <f ca="1">$AP$18*$AP$55</f>
        <v>0</v>
      </c>
      <c r="AG18" s="13">
        <f ca="1">SUM($AE$18:$AF$18)</f>
        <v>0</v>
      </c>
      <c r="AH18" s="13">
        <f>'TUSD BE'!$AH$18*'TUSD BF'!$AH$58</f>
        <v>0</v>
      </c>
      <c r="AI18" s="13">
        <f>'TUSD BE'!$AI$18*'TUSD BF'!$AI$58</f>
        <v>0</v>
      </c>
      <c r="AJ18" s="13">
        <f ca="1">'TUSD BE'!$AJ$18*'TUSD BF'!$AJ$58</f>
        <v>0</v>
      </c>
      <c r="AK18" s="13">
        <f ca="1">'TUSD BE'!$AK$18*'TUSD BF'!$AK$58</f>
        <v>0</v>
      </c>
      <c r="AL18" s="13">
        <f ca="1">SUM($AH$18:$AK$18)</f>
        <v>0</v>
      </c>
      <c r="AM18" s="13">
        <f ca="1">SUMIF($L$4:$AL$4,"SUBTOTAL",$L$18:$AL$18)</f>
        <v>0</v>
      </c>
      <c r="AO18" s="26">
        <f ca="1">+'TUSD BE'!$T$18+'TUSD BE'!$AB$18+'TUSD BE'!$AD$18+'TUSD BE'!$AL$18</f>
        <v>1216.3912479105059</v>
      </c>
      <c r="AP18" s="26">
        <f ca="1">+'TUSD BE'!$T$18+'TUSD BE'!$AB$18+'TUSD BE'!$AD$18+'TUSD BE'!$AL$18</f>
        <v>1216.3912479105059</v>
      </c>
    </row>
    <row r="19" spans="1:42" ht="11.25" customHeight="1" x14ac:dyDescent="0.25">
      <c r="A19" s="103"/>
      <c r="B19" s="103"/>
      <c r="C19" s="103"/>
      <c r="D19" s="103"/>
      <c r="E19" s="103"/>
      <c r="F19" s="103"/>
      <c r="G19" s="24" t="s">
        <v>62</v>
      </c>
      <c r="H19" s="24" t="s">
        <v>60</v>
      </c>
      <c r="I19" s="24">
        <f>'MERCADO TUSD'!$U$16</f>
        <v>0</v>
      </c>
      <c r="J19" s="15"/>
      <c r="L19" s="13">
        <f>'TUSD BE'!$L$19*'TUSD BF'!$L$58</f>
        <v>0</v>
      </c>
      <c r="M19" s="13">
        <f>'TUSD BE'!$M$19*'TUSD BF'!$M$58</f>
        <v>0</v>
      </c>
      <c r="N19" s="13">
        <f ca="1">'TUSD BE'!$N$19*'TUSD BF'!$N$58</f>
        <v>0</v>
      </c>
      <c r="O19" s="13">
        <f>'TUSD BE'!$O$19*'TUSD BF'!$O$58</f>
        <v>0</v>
      </c>
      <c r="P19" s="13">
        <f>'TUSD BE'!$P$19*'TUSD BF'!$P$58</f>
        <v>0</v>
      </c>
      <c r="Q19" s="13">
        <f>'TUSD BE'!$Q$19*'TUSD BF'!$Q$58</f>
        <v>0</v>
      </c>
      <c r="R19" s="13">
        <f>'TUSD BE'!$R$19*'TUSD BF'!$R$58</f>
        <v>0</v>
      </c>
      <c r="S19" s="13">
        <f>'TUSD BE'!$R$19*'TUSD BF'!$S$58</f>
        <v>0</v>
      </c>
      <c r="T19" s="13">
        <f ca="1">SUM($L$19:$S$19)</f>
        <v>0</v>
      </c>
      <c r="U19" s="13">
        <f>'TUSD BE'!$U$19*'TUSD BF'!$U$58</f>
        <v>0</v>
      </c>
      <c r="V19" s="13">
        <f>'TUSD BE'!$V$19*'TUSD BF'!$V$58</f>
        <v>0</v>
      </c>
      <c r="W19" s="13">
        <f>'TUSD BE'!$W$19*'TUSD BF'!$W$58</f>
        <v>0</v>
      </c>
      <c r="X19" s="13">
        <f>'TUSD BE'!$X$19*'TUSD BF'!$X$58</f>
        <v>0</v>
      </c>
      <c r="Y19" s="13">
        <f>'TUSD BE'!$Y$19*'TUSD BF'!$Y$58</f>
        <v>0</v>
      </c>
      <c r="Z19" s="13">
        <f>'TUSD BE'!$Z$19*'TUSD BF'!$Z$58</f>
        <v>0</v>
      </c>
      <c r="AA19" s="13">
        <f>'TUSD BE'!$AA$19*'TUSD BF'!$AA$58</f>
        <v>0</v>
      </c>
      <c r="AB19" s="13">
        <f>SUM($U$19:$AA$19)</f>
        <v>0</v>
      </c>
      <c r="AC19" s="13">
        <f>'TUSD BE'!$AC$19*'TUSD BF'!$AC$58</f>
        <v>0</v>
      </c>
      <c r="AD19" s="13">
        <f>SUM($AC$19:$AC$19)</f>
        <v>0</v>
      </c>
      <c r="AE19" s="13">
        <f ca="1">$AO$19*$AO$55</f>
        <v>0</v>
      </c>
      <c r="AF19" s="13">
        <f ca="1">$AP$19*$AP$55</f>
        <v>0</v>
      </c>
      <c r="AG19" s="13">
        <f ca="1">SUM($AE$19:$AF$19)</f>
        <v>0</v>
      </c>
      <c r="AH19" s="13">
        <f>'TUSD BE'!$AH$19*'TUSD BF'!$AH$58</f>
        <v>0</v>
      </c>
      <c r="AI19" s="13">
        <f>'TUSD BE'!$AI$19*'TUSD BF'!$AI$58</f>
        <v>0</v>
      </c>
      <c r="AJ19" s="13">
        <f ca="1">'TUSD BE'!$AJ$19*'TUSD BF'!$AJ$58</f>
        <v>0</v>
      </c>
      <c r="AK19" s="13">
        <f ca="1">'TUSD BE'!$AK$19*'TUSD BF'!$AK$58</f>
        <v>0</v>
      </c>
      <c r="AL19" s="13">
        <f ca="1">SUM($AH$19:$AK$19)</f>
        <v>0</v>
      </c>
      <c r="AM19" s="13">
        <f ca="1">SUMIF($L$4:$AL$4,"SUBTOTAL",$L$19:$AL$19)</f>
        <v>0</v>
      </c>
      <c r="AO19" s="26">
        <f ca="1">+'TUSD BE'!$T$19+'TUSD BE'!$AB$19+'TUSD BE'!$AD$19+'TUSD BE'!$AL$19</f>
        <v>506.60201777611593</v>
      </c>
      <c r="AP19" s="26">
        <f ca="1">+'TUSD BE'!$T$19+'TUSD BE'!$AB$19+'TUSD BE'!$AD$19+'TUSD BE'!$AL$19</f>
        <v>506.60201777611593</v>
      </c>
    </row>
    <row r="20" spans="1:42" ht="11.25" customHeight="1" x14ac:dyDescent="0.25">
      <c r="A20" s="103"/>
      <c r="B20" s="103" t="s">
        <v>23</v>
      </c>
      <c r="C20" s="103" t="s">
        <v>24</v>
      </c>
      <c r="D20" s="23" t="s">
        <v>24</v>
      </c>
      <c r="E20" s="23" t="s">
        <v>25</v>
      </c>
      <c r="F20" s="23" t="s">
        <v>25</v>
      </c>
      <c r="G20" s="24" t="s">
        <v>67</v>
      </c>
      <c r="H20" s="24" t="s">
        <v>60</v>
      </c>
      <c r="I20" s="24">
        <f>'MERCADO TUSD'!$U$17</f>
        <v>3454.3520000000003</v>
      </c>
      <c r="J20" s="15"/>
      <c r="L20" s="13">
        <f>'TUSD BE'!$L$20*'TUSD BF'!$L$58</f>
        <v>0</v>
      </c>
      <c r="M20" s="13">
        <f>'TUSD BE'!$M$20*'TUSD BF'!$M$58</f>
        <v>0</v>
      </c>
      <c r="N20" s="13">
        <f ca="1">'TUSD BE'!$N$20*'TUSD BF'!$N$58</f>
        <v>0</v>
      </c>
      <c r="O20" s="13">
        <f>'TUSD BE'!$O$20*'TUSD BF'!$O$58</f>
        <v>0</v>
      </c>
      <c r="P20" s="13">
        <f>'TUSD BE'!$P$20*'TUSD BF'!$P$58</f>
        <v>0</v>
      </c>
      <c r="Q20" s="13">
        <f>'TUSD BE'!$Q$20*'TUSD BF'!$Q$58</f>
        <v>0</v>
      </c>
      <c r="R20" s="13">
        <f>'TUSD BE'!$R$20*'TUSD BF'!$R$58</f>
        <v>0</v>
      </c>
      <c r="S20" s="13">
        <f>'TUSD BE'!$R$20*'TUSD BF'!$S$58</f>
        <v>0</v>
      </c>
      <c r="T20" s="13">
        <f ca="1">SUM($L$20:$S$20)</f>
        <v>0</v>
      </c>
      <c r="U20" s="13">
        <f>'TUSD BE'!$U$20*'TUSD BF'!$U$58</f>
        <v>0</v>
      </c>
      <c r="V20" s="13">
        <f>'TUSD BE'!$V$20*'TUSD BF'!$V$58</f>
        <v>0</v>
      </c>
      <c r="W20" s="13">
        <f>'TUSD BE'!$W$20*'TUSD BF'!$W$58</f>
        <v>0</v>
      </c>
      <c r="X20" s="13">
        <f>'TUSD BE'!$X$20*'TUSD BF'!$X$58</f>
        <v>0</v>
      </c>
      <c r="Y20" s="13">
        <f>'TUSD BE'!$Y$20*'TUSD BF'!$Y$58</f>
        <v>0</v>
      </c>
      <c r="Z20" s="13">
        <f>'TUSD BE'!$Z$20*'TUSD BF'!$Z$58</f>
        <v>0</v>
      </c>
      <c r="AA20" s="13">
        <f>'TUSD BE'!$AA$20*'TUSD BF'!$AA$58</f>
        <v>0</v>
      </c>
      <c r="AB20" s="13">
        <f>SUM($U$20:$AA$20)</f>
        <v>0</v>
      </c>
      <c r="AC20" s="13">
        <f>'TUSD BE'!$AC$20*'TUSD BF'!$AC$58</f>
        <v>0</v>
      </c>
      <c r="AD20" s="13">
        <f>SUM($AC$20:$AC$20)</f>
        <v>0</v>
      </c>
      <c r="AE20" s="13">
        <f ca="1">$AO$20*$AO$55</f>
        <v>0</v>
      </c>
      <c r="AF20" s="13">
        <f ca="1">$AP$20*$AP$55</f>
        <v>0</v>
      </c>
      <c r="AG20" s="13">
        <f ca="1">SUM($AE$20:$AF$20)</f>
        <v>0</v>
      </c>
      <c r="AH20" s="13">
        <f>'TUSD BE'!$AH$20*'TUSD BF'!$AH$58</f>
        <v>0</v>
      </c>
      <c r="AI20" s="13">
        <f>'TUSD BE'!$AI$20*'TUSD BF'!$AI$58</f>
        <v>0</v>
      </c>
      <c r="AJ20" s="13">
        <f ca="1">'TUSD BE'!$AJ$20*'TUSD BF'!$AJ$58</f>
        <v>0</v>
      </c>
      <c r="AK20" s="13">
        <f ca="1">'TUSD BE'!$AK$20*'TUSD BF'!$AK$58</f>
        <v>0</v>
      </c>
      <c r="AL20" s="13">
        <f ca="1">SUM($AH$20:$AK$20)</f>
        <v>0</v>
      </c>
      <c r="AM20" s="13">
        <f ca="1">SUMIF($L$4:$AL$4,"SUBTOTAL",$L$20:$AL$20)</f>
        <v>0</v>
      </c>
      <c r="AO20" s="26">
        <f ca="1">+'TUSD BE'!$T$20+'TUSD BE'!$AB$20+'TUSD BE'!$AD$20+'TUSD BE'!$AL$20</f>
        <v>808.80152935754006</v>
      </c>
      <c r="AP20" s="26">
        <f ca="1">+'TUSD BE'!$T$20+'TUSD BE'!$AB$20+'TUSD BE'!$AD$20+'TUSD BE'!$AL$20</f>
        <v>808.80152935754006</v>
      </c>
    </row>
    <row r="21" spans="1:42" ht="11.25" customHeight="1" x14ac:dyDescent="0.25">
      <c r="A21" s="103"/>
      <c r="B21" s="103"/>
      <c r="C21" s="103"/>
      <c r="D21" s="23" t="s">
        <v>41</v>
      </c>
      <c r="E21" s="23" t="s">
        <v>25</v>
      </c>
      <c r="F21" s="23" t="s">
        <v>25</v>
      </c>
      <c r="G21" s="24" t="s">
        <v>67</v>
      </c>
      <c r="H21" s="24" t="s">
        <v>60</v>
      </c>
      <c r="I21" s="24">
        <f>'MERCADO TUSD'!$U$18</f>
        <v>0.48000000000000009</v>
      </c>
      <c r="J21" s="15"/>
      <c r="L21" s="13">
        <f>'TUSD BE'!$L$21*'TUSD BF'!$L$58</f>
        <v>0</v>
      </c>
      <c r="M21" s="13">
        <f>'TUSD BE'!$M$21*'TUSD BF'!$M$58</f>
        <v>0</v>
      </c>
      <c r="N21" s="13">
        <f ca="1">'TUSD BE'!$N$21*'TUSD BF'!$N$58</f>
        <v>0</v>
      </c>
      <c r="O21" s="13">
        <f>'TUSD BE'!$O$21*'TUSD BF'!$O$58</f>
        <v>0</v>
      </c>
      <c r="P21" s="13">
        <f>'TUSD BE'!$P$21*'TUSD BF'!$P$58</f>
        <v>0</v>
      </c>
      <c r="Q21" s="13">
        <f>'TUSD BE'!$Q$21*'TUSD BF'!$Q$58</f>
        <v>0</v>
      </c>
      <c r="R21" s="13">
        <f>'TUSD BE'!$R$21*'TUSD BF'!$R$58</f>
        <v>0</v>
      </c>
      <c r="S21" s="13">
        <f>'TUSD BE'!$R$21*'TUSD BF'!$S$58</f>
        <v>0</v>
      </c>
      <c r="T21" s="13">
        <f ca="1">SUM($L$21:$S$21)</f>
        <v>0</v>
      </c>
      <c r="U21" s="13">
        <f>'TUSD BE'!$U$21*'TUSD BF'!$U$58</f>
        <v>0</v>
      </c>
      <c r="V21" s="13">
        <f>'TUSD BE'!$V$21*'TUSD BF'!$V$58</f>
        <v>0</v>
      </c>
      <c r="W21" s="13">
        <f>'TUSD BE'!$W$21*'TUSD BF'!$W$58</f>
        <v>0</v>
      </c>
      <c r="X21" s="13">
        <f>'TUSD BE'!$X$21*'TUSD BF'!$X$58</f>
        <v>0</v>
      </c>
      <c r="Y21" s="13">
        <f>'TUSD BE'!$Y$21*'TUSD BF'!$Y$58</f>
        <v>0</v>
      </c>
      <c r="Z21" s="13">
        <f>'TUSD BE'!$Z$21*'TUSD BF'!$Z$58</f>
        <v>0</v>
      </c>
      <c r="AA21" s="13">
        <f>'TUSD BE'!$AA$21*'TUSD BF'!$AA$58</f>
        <v>0</v>
      </c>
      <c r="AB21" s="13">
        <f>SUM($U$21:$AA$21)</f>
        <v>0</v>
      </c>
      <c r="AC21" s="13">
        <f>'TUSD BE'!$AC$21*'TUSD BF'!$AC$58</f>
        <v>0</v>
      </c>
      <c r="AD21" s="13">
        <f>SUM($AC$21:$AC$21)</f>
        <v>0</v>
      </c>
      <c r="AE21" s="13">
        <f ca="1">$AO$21*$AO$55</f>
        <v>0</v>
      </c>
      <c r="AF21" s="13">
        <f ca="1">$AP$21*$AP$55</f>
        <v>0</v>
      </c>
      <c r="AG21" s="13">
        <f ca="1">SUM($AE$21:$AF$21)</f>
        <v>0</v>
      </c>
      <c r="AH21" s="13">
        <f>'TUSD BE'!$AH$21*'TUSD BF'!$AH$58</f>
        <v>0</v>
      </c>
      <c r="AI21" s="13">
        <f>'TUSD BE'!$AI$21*'TUSD BF'!$AI$58</f>
        <v>0</v>
      </c>
      <c r="AJ21" s="13">
        <f ca="1">'TUSD BE'!$AJ$21*'TUSD BF'!$AJ$58</f>
        <v>0</v>
      </c>
      <c r="AK21" s="13">
        <f ca="1">'TUSD BE'!$AK$21*'TUSD BF'!$AK$58</f>
        <v>0</v>
      </c>
      <c r="AL21" s="13">
        <f ca="1">SUM($AH$21:$AK$21)</f>
        <v>0</v>
      </c>
      <c r="AM21" s="13">
        <f ca="1">SUMIF($L$4:$AL$4,"SUBTOTAL",$L$21:$AL$21)</f>
        <v>0</v>
      </c>
      <c r="AO21" s="26">
        <f ca="1">+'TUSD BE'!$T$21+'TUSD BE'!$AB$21+'TUSD BE'!$AD$21+'TUSD BE'!$AL$21</f>
        <v>672.62649262440902</v>
      </c>
      <c r="AP21" s="26">
        <f ca="1">+'TUSD BE'!$T$21+'TUSD BE'!$AB$21+'TUSD BE'!$AD$21+'TUSD BE'!$AL$21</f>
        <v>672.62649262440902</v>
      </c>
    </row>
    <row r="22" spans="1:42" ht="11.25" customHeight="1" x14ac:dyDescent="0.25">
      <c r="A22" s="103"/>
      <c r="B22" s="103"/>
      <c r="C22" s="103"/>
      <c r="D22" s="23" t="s">
        <v>42</v>
      </c>
      <c r="E22" s="23" t="s">
        <v>25</v>
      </c>
      <c r="F22" s="23" t="s">
        <v>25</v>
      </c>
      <c r="G22" s="24" t="s">
        <v>67</v>
      </c>
      <c r="H22" s="24" t="s">
        <v>60</v>
      </c>
      <c r="I22" s="24">
        <f>'MERCADO TUSD'!$U$19</f>
        <v>7.3130000000000006</v>
      </c>
      <c r="J22" s="15"/>
      <c r="L22" s="13">
        <f>'TUSD BE'!$L$22*'TUSD BF'!$L$58</f>
        <v>0</v>
      </c>
      <c r="M22" s="13">
        <f>'TUSD BE'!$M$22*'TUSD BF'!$M$58</f>
        <v>0</v>
      </c>
      <c r="N22" s="13">
        <f ca="1">'TUSD BE'!$N$22*'TUSD BF'!$N$58</f>
        <v>0</v>
      </c>
      <c r="O22" s="13">
        <f>'TUSD BE'!$O$22*'TUSD BF'!$O$58</f>
        <v>0</v>
      </c>
      <c r="P22" s="13">
        <f>'TUSD BE'!$P$22*'TUSD BF'!$P$58</f>
        <v>0</v>
      </c>
      <c r="Q22" s="13">
        <f>'TUSD BE'!$Q$22*'TUSD BF'!$Q$58</f>
        <v>0</v>
      </c>
      <c r="R22" s="13">
        <f>'TUSD BE'!$R$22*'TUSD BF'!$R$58</f>
        <v>0</v>
      </c>
      <c r="S22" s="13">
        <f>'TUSD BE'!$R$22*'TUSD BF'!$S$58</f>
        <v>0</v>
      </c>
      <c r="T22" s="13">
        <f ca="1">SUM($L$22:$S$22)</f>
        <v>0</v>
      </c>
      <c r="U22" s="13">
        <f>'TUSD BE'!$U$22*'TUSD BF'!$U$58</f>
        <v>0</v>
      </c>
      <c r="V22" s="13">
        <f>'TUSD BE'!$V$22*'TUSD BF'!$V$58</f>
        <v>0</v>
      </c>
      <c r="W22" s="13">
        <f>'TUSD BE'!$W$22*'TUSD BF'!$W$58</f>
        <v>0</v>
      </c>
      <c r="X22" s="13">
        <f>'TUSD BE'!$X$22*'TUSD BF'!$X$58</f>
        <v>0</v>
      </c>
      <c r="Y22" s="13">
        <f>'TUSD BE'!$Y$22*'TUSD BF'!$Y$58</f>
        <v>0</v>
      </c>
      <c r="Z22" s="13">
        <f>'TUSD BE'!$Z$22*'TUSD BF'!$Z$58</f>
        <v>0</v>
      </c>
      <c r="AA22" s="13">
        <f>'TUSD BE'!$AA$22*'TUSD BF'!$AA$58</f>
        <v>0</v>
      </c>
      <c r="AB22" s="13">
        <f>SUM($U$22:$AA$22)</f>
        <v>0</v>
      </c>
      <c r="AC22" s="13">
        <f>'TUSD BE'!$AC$22*'TUSD BF'!$AC$58</f>
        <v>0</v>
      </c>
      <c r="AD22" s="13">
        <f>SUM($AC$22:$AC$22)</f>
        <v>0</v>
      </c>
      <c r="AE22" s="13">
        <f ca="1">$AO$22*$AO$55</f>
        <v>0</v>
      </c>
      <c r="AF22" s="13">
        <f ca="1">$AP$22*$AP$55</f>
        <v>0</v>
      </c>
      <c r="AG22" s="13">
        <f ca="1">SUM($AE$22:$AF$22)</f>
        <v>0</v>
      </c>
      <c r="AH22" s="13">
        <f>'TUSD BE'!$AH$22*'TUSD BF'!$AH$58</f>
        <v>0</v>
      </c>
      <c r="AI22" s="13">
        <f>'TUSD BE'!$AI$22*'TUSD BF'!$AI$58</f>
        <v>0</v>
      </c>
      <c r="AJ22" s="13">
        <f ca="1">'TUSD BE'!$AJ$22*'TUSD BF'!$AJ$58</f>
        <v>0</v>
      </c>
      <c r="AK22" s="13">
        <f ca="1">'TUSD BE'!$AK$22*'TUSD BF'!$AK$58</f>
        <v>0</v>
      </c>
      <c r="AL22" s="13">
        <f ca="1">SUM($AH$22:$AK$22)</f>
        <v>0</v>
      </c>
      <c r="AM22" s="13">
        <f ca="1">SUMIF($L$4:$AL$4,"SUBTOTAL",$L$22:$AL$22)</f>
        <v>0</v>
      </c>
      <c r="AO22" s="26">
        <f ca="1">+'TUSD BE'!$T$22+'TUSD BE'!$AB$22+'TUSD BE'!$AD$22+'TUSD BE'!$AL$22</f>
        <v>672.62649262440902</v>
      </c>
      <c r="AP22" s="26">
        <f ca="1">+'TUSD BE'!$T$22+'TUSD BE'!$AB$22+'TUSD BE'!$AD$22+'TUSD BE'!$AL$22</f>
        <v>672.62649262440902</v>
      </c>
    </row>
    <row r="23" spans="1:42" ht="11.25" customHeight="1" x14ac:dyDescent="0.25">
      <c r="A23" s="103"/>
      <c r="B23" s="103"/>
      <c r="C23" s="103"/>
      <c r="D23" s="23" t="s">
        <v>39</v>
      </c>
      <c r="E23" s="23" t="s">
        <v>25</v>
      </c>
      <c r="F23" s="23" t="s">
        <v>25</v>
      </c>
      <c r="G23" s="24" t="s">
        <v>67</v>
      </c>
      <c r="H23" s="24" t="s">
        <v>60</v>
      </c>
      <c r="I23" s="24">
        <f>'MERCADO TUSD'!$U$20</f>
        <v>77.287999999999997</v>
      </c>
      <c r="J23" s="15"/>
      <c r="L23" s="13">
        <f>'TUSD BE'!$L$23*'TUSD BF'!$L$58</f>
        <v>0</v>
      </c>
      <c r="M23" s="13">
        <f>'TUSD BE'!$M$23*'TUSD BF'!$M$58</f>
        <v>0</v>
      </c>
      <c r="N23" s="13">
        <f ca="1">'TUSD BE'!$N$23*'TUSD BF'!$N$58</f>
        <v>0</v>
      </c>
      <c r="O23" s="13">
        <f>'TUSD BE'!$O$23*'TUSD BF'!$O$58</f>
        <v>0</v>
      </c>
      <c r="P23" s="13">
        <f>'TUSD BE'!$P$23*'TUSD BF'!$P$58</f>
        <v>0</v>
      </c>
      <c r="Q23" s="13">
        <f>'TUSD BE'!$Q$23*'TUSD BF'!$Q$58</f>
        <v>0</v>
      </c>
      <c r="R23" s="13">
        <f>'TUSD BE'!$R$23*'TUSD BF'!$R$58</f>
        <v>0</v>
      </c>
      <c r="S23" s="13">
        <f>'TUSD BE'!$R$23*'TUSD BF'!$S$58</f>
        <v>0</v>
      </c>
      <c r="T23" s="13">
        <f ca="1">SUM($L$23:$S$23)</f>
        <v>0</v>
      </c>
      <c r="U23" s="13">
        <f>'TUSD BE'!$U$23*'TUSD BF'!$U$58</f>
        <v>0</v>
      </c>
      <c r="V23" s="13">
        <f>'TUSD BE'!$V$23*'TUSD BF'!$V$58</f>
        <v>0</v>
      </c>
      <c r="W23" s="13">
        <f>'TUSD BE'!$W$23*'TUSD BF'!$W$58</f>
        <v>0</v>
      </c>
      <c r="X23" s="13">
        <f>'TUSD BE'!$X$23*'TUSD BF'!$X$58</f>
        <v>0</v>
      </c>
      <c r="Y23" s="13">
        <f>'TUSD BE'!$Y$23*'TUSD BF'!$Y$58</f>
        <v>0</v>
      </c>
      <c r="Z23" s="13">
        <f>'TUSD BE'!$Z$23*'TUSD BF'!$Z$58</f>
        <v>0</v>
      </c>
      <c r="AA23" s="13">
        <f>'TUSD BE'!$AA$23*'TUSD BF'!$AA$58</f>
        <v>0</v>
      </c>
      <c r="AB23" s="13">
        <f>SUM($U$23:$AA$23)</f>
        <v>0</v>
      </c>
      <c r="AC23" s="13">
        <f>'TUSD BE'!$AC$23*'TUSD BF'!$AC$58</f>
        <v>0</v>
      </c>
      <c r="AD23" s="13">
        <f>SUM($AC$23:$AC$23)</f>
        <v>0</v>
      </c>
      <c r="AE23" s="13">
        <f ca="1">$AO$23*$AO$55</f>
        <v>0</v>
      </c>
      <c r="AF23" s="13">
        <f ca="1">$AP$23*$AP$55</f>
        <v>0</v>
      </c>
      <c r="AG23" s="13">
        <f ca="1">SUM($AE$23:$AF$23)</f>
        <v>0</v>
      </c>
      <c r="AH23" s="13">
        <f>'TUSD BE'!$AH$23*'TUSD BF'!$AH$58</f>
        <v>0</v>
      </c>
      <c r="AI23" s="13">
        <f>'TUSD BE'!$AI$23*'TUSD BF'!$AI$58</f>
        <v>0</v>
      </c>
      <c r="AJ23" s="13">
        <f ca="1">'TUSD BE'!$AJ$23*'TUSD BF'!$AJ$58</f>
        <v>0</v>
      </c>
      <c r="AK23" s="13">
        <f ca="1">'TUSD BE'!$AK$23*'TUSD BF'!$AK$58</f>
        <v>0</v>
      </c>
      <c r="AL23" s="13">
        <f ca="1">SUM($AH$23:$AK$23)</f>
        <v>0</v>
      </c>
      <c r="AM23" s="13">
        <f ca="1">SUMIF($L$4:$AL$4,"SUBTOTAL",$L$23:$AL$23)</f>
        <v>0</v>
      </c>
      <c r="AO23" s="26">
        <f ca="1">+'TUSD BE'!$T$23+'TUSD BE'!$AB$23+'TUSD BE'!$AD$23+'TUSD BE'!$AL$23</f>
        <v>672.62649262440902</v>
      </c>
      <c r="AP23" s="26">
        <f ca="1">+'TUSD BE'!$T$23+'TUSD BE'!$AB$23+'TUSD BE'!$AD$23+'TUSD BE'!$AL$23</f>
        <v>672.62649262440902</v>
      </c>
    </row>
    <row r="24" spans="1:42" ht="11.25" customHeight="1" x14ac:dyDescent="0.25">
      <c r="A24" s="103"/>
      <c r="B24" s="103"/>
      <c r="C24" s="103"/>
      <c r="D24" s="23" t="s">
        <v>40</v>
      </c>
      <c r="E24" s="23" t="s">
        <v>25</v>
      </c>
      <c r="F24" s="23" t="s">
        <v>25</v>
      </c>
      <c r="G24" s="24" t="s">
        <v>67</v>
      </c>
      <c r="H24" s="24" t="s">
        <v>60</v>
      </c>
      <c r="I24" s="24">
        <f>'MERCADO TUSD'!$U$21</f>
        <v>81.510999999999996</v>
      </c>
      <c r="J24" s="15"/>
      <c r="L24" s="13">
        <f>'TUSD BE'!$L$24*'TUSD BF'!$L$58</f>
        <v>0</v>
      </c>
      <c r="M24" s="13">
        <f>'TUSD BE'!$M$24*'TUSD BF'!$M$58</f>
        <v>0</v>
      </c>
      <c r="N24" s="13">
        <f ca="1">'TUSD BE'!$N$24*'TUSD BF'!$N$58</f>
        <v>0</v>
      </c>
      <c r="O24" s="13">
        <f>'TUSD BE'!$O$24*'TUSD BF'!$O$58</f>
        <v>0</v>
      </c>
      <c r="P24" s="13">
        <f>'TUSD BE'!$P$24*'TUSD BF'!$P$58</f>
        <v>0</v>
      </c>
      <c r="Q24" s="13">
        <f>'TUSD BE'!$Q$24*'TUSD BF'!$Q$58</f>
        <v>0</v>
      </c>
      <c r="R24" s="13">
        <f>'TUSD BE'!$R$24*'TUSD BF'!$R$58</f>
        <v>0</v>
      </c>
      <c r="S24" s="13">
        <f>'TUSD BE'!$R$24*'TUSD BF'!$S$58</f>
        <v>0</v>
      </c>
      <c r="T24" s="13">
        <f ca="1">SUM($L$24:$S$24)</f>
        <v>0</v>
      </c>
      <c r="U24" s="13">
        <f>'TUSD BE'!$U$24*'TUSD BF'!$U$58</f>
        <v>0</v>
      </c>
      <c r="V24" s="13">
        <f>'TUSD BE'!$V$24*'TUSD BF'!$V$58</f>
        <v>0</v>
      </c>
      <c r="W24" s="13">
        <f>'TUSD BE'!$W$24*'TUSD BF'!$W$58</f>
        <v>0</v>
      </c>
      <c r="X24" s="13">
        <f>'TUSD BE'!$X$24*'TUSD BF'!$X$58</f>
        <v>0</v>
      </c>
      <c r="Y24" s="13">
        <f>'TUSD BE'!$Y$24*'TUSD BF'!$Y$58</f>
        <v>0</v>
      </c>
      <c r="Z24" s="13">
        <f>'TUSD BE'!$Z$24*'TUSD BF'!$Z$58</f>
        <v>0</v>
      </c>
      <c r="AA24" s="13">
        <f>'TUSD BE'!$AA$24*'TUSD BF'!$AA$58</f>
        <v>0</v>
      </c>
      <c r="AB24" s="13">
        <f>SUM($U$24:$AA$24)</f>
        <v>0</v>
      </c>
      <c r="AC24" s="13">
        <f>'TUSD BE'!$AC$24*'TUSD BF'!$AC$58</f>
        <v>0</v>
      </c>
      <c r="AD24" s="13">
        <f>SUM($AC$24:$AC$24)</f>
        <v>0</v>
      </c>
      <c r="AE24" s="13">
        <f ca="1">$AO$24*$AO$55</f>
        <v>0</v>
      </c>
      <c r="AF24" s="13">
        <f ca="1">$AP$24*$AP$55</f>
        <v>0</v>
      </c>
      <c r="AG24" s="13">
        <f ca="1">SUM($AE$24:$AF$24)</f>
        <v>0</v>
      </c>
      <c r="AH24" s="13">
        <f>'TUSD BE'!$AH$24*'TUSD BF'!$AH$58</f>
        <v>0</v>
      </c>
      <c r="AI24" s="13">
        <f>'TUSD BE'!$AI$24*'TUSD BF'!$AI$58</f>
        <v>0</v>
      </c>
      <c r="AJ24" s="13">
        <f ca="1">'TUSD BE'!$AJ$24*'TUSD BF'!$AJ$58</f>
        <v>0</v>
      </c>
      <c r="AK24" s="13">
        <f ca="1">'TUSD BE'!$AK$24*'TUSD BF'!$AK$58</f>
        <v>0</v>
      </c>
      <c r="AL24" s="13">
        <f ca="1">SUM($AH$24:$AK$24)</f>
        <v>0</v>
      </c>
      <c r="AM24" s="13">
        <f ca="1">SUMIF($L$4:$AL$4,"SUBTOTAL",$L$24:$AL$24)</f>
        <v>0</v>
      </c>
      <c r="AO24" s="26">
        <f ca="1">+'TUSD BE'!$T$24+'TUSD BE'!$AB$24+'TUSD BE'!$AD$24+'TUSD BE'!$AL$24</f>
        <v>672.62649262440902</v>
      </c>
      <c r="AP24" s="26">
        <f ca="1">+'TUSD BE'!$T$24+'TUSD BE'!$AB$24+'TUSD BE'!$AD$24+'TUSD BE'!$AL$24</f>
        <v>672.62649262440902</v>
      </c>
    </row>
    <row r="25" spans="1:42" ht="11.25" customHeight="1" x14ac:dyDescent="0.25">
      <c r="A25" s="103"/>
      <c r="B25" s="103" t="s">
        <v>78</v>
      </c>
      <c r="C25" s="103" t="s">
        <v>24</v>
      </c>
      <c r="D25" s="23" t="s">
        <v>24</v>
      </c>
      <c r="E25" s="23" t="s">
        <v>25</v>
      </c>
      <c r="F25" s="23" t="s">
        <v>25</v>
      </c>
      <c r="G25" s="24" t="s">
        <v>67</v>
      </c>
      <c r="H25" s="24" t="s">
        <v>60</v>
      </c>
      <c r="I25" s="24">
        <f>'MERCADO TUSD'!$U$22</f>
        <v>0</v>
      </c>
      <c r="J25" s="15"/>
      <c r="L25" s="13">
        <f>'TUSD BE'!$L$25*'TUSD BF'!$L$58</f>
        <v>0</v>
      </c>
      <c r="M25" s="13">
        <f>'TUSD BE'!$M$25*'TUSD BF'!$M$58</f>
        <v>0</v>
      </c>
      <c r="N25" s="13">
        <f ca="1">'TUSD BE'!$N$25*'TUSD BF'!$N$58</f>
        <v>0</v>
      </c>
      <c r="O25" s="13">
        <f>'TUSD BE'!$O$25*'TUSD BF'!$O$58</f>
        <v>0</v>
      </c>
      <c r="P25" s="13">
        <f>'TUSD BE'!$P$25*'TUSD BF'!$P$58</f>
        <v>0</v>
      </c>
      <c r="Q25" s="13">
        <f>'TUSD BE'!$Q$25*'TUSD BF'!$Q$58</f>
        <v>0</v>
      </c>
      <c r="R25" s="13">
        <f>'TUSD BE'!$R$25*'TUSD BF'!$R$58</f>
        <v>0</v>
      </c>
      <c r="S25" s="13">
        <f>'TUSD BE'!$R$25*'TUSD BF'!$S$58</f>
        <v>0</v>
      </c>
      <c r="T25" s="13">
        <f ca="1">SUM($L$25:$S$25)</f>
        <v>0</v>
      </c>
      <c r="U25" s="13">
        <f>'TUSD BE'!$U$25*'TUSD BF'!$U$58</f>
        <v>0</v>
      </c>
      <c r="V25" s="13">
        <f>'TUSD BE'!$V$25*'TUSD BF'!$V$58</f>
        <v>0</v>
      </c>
      <c r="W25" s="13">
        <f>'TUSD BE'!$W$25*'TUSD BF'!$W$58</f>
        <v>0</v>
      </c>
      <c r="X25" s="13">
        <f>'TUSD BE'!$X$25*'TUSD BF'!$X$58</f>
        <v>0</v>
      </c>
      <c r="Y25" s="13">
        <f>'TUSD BE'!$Y$25*'TUSD BF'!$Y$58</f>
        <v>0</v>
      </c>
      <c r="Z25" s="13">
        <f>'TUSD BE'!$Z$25*'TUSD BF'!$Z$58</f>
        <v>0</v>
      </c>
      <c r="AA25" s="13">
        <f>'TUSD BE'!$AA$25*'TUSD BF'!$AA$58</f>
        <v>0</v>
      </c>
      <c r="AB25" s="13">
        <f>SUM($U$25:$AA$25)</f>
        <v>0</v>
      </c>
      <c r="AC25" s="13">
        <f>'TUSD BE'!$AC$25*'TUSD BF'!$AC$58</f>
        <v>0</v>
      </c>
      <c r="AD25" s="13">
        <f>SUM($AC$25:$AC$25)</f>
        <v>0</v>
      </c>
      <c r="AE25" s="13">
        <f ca="1">$AO$25*$AO$55</f>
        <v>0</v>
      </c>
      <c r="AF25" s="13">
        <f ca="1">$AP$25*$AP$55</f>
        <v>0</v>
      </c>
      <c r="AG25" s="13">
        <f ca="1">SUM($AE$25:$AF$25)</f>
        <v>0</v>
      </c>
      <c r="AH25" s="13">
        <f>'TUSD BE'!$AH$25*'TUSD BF'!$AH$58</f>
        <v>0</v>
      </c>
      <c r="AI25" s="13">
        <f>'TUSD BE'!$AI$25*'TUSD BF'!$AI$58</f>
        <v>0</v>
      </c>
      <c r="AJ25" s="13">
        <f ca="1">'TUSD BE'!$AJ$25*'TUSD BF'!$AJ$58</f>
        <v>0</v>
      </c>
      <c r="AK25" s="13">
        <f ca="1">'TUSD BE'!$AK$25*'TUSD BF'!$AK$58</f>
        <v>0</v>
      </c>
      <c r="AL25" s="13">
        <f ca="1">SUM($AH$25:$AK$25)</f>
        <v>0</v>
      </c>
      <c r="AM25" s="13">
        <f ca="1">SUMIF($L$4:$AL$4,"SUBTOTAL",$L$25:$AL$25)</f>
        <v>0</v>
      </c>
      <c r="AO25" s="26">
        <f ca="1">+'TUSD BE'!$T$25+'TUSD BE'!$AB$25+'TUSD BE'!$AD$25+'TUSD BE'!$AL$25</f>
        <v>808.80152935754006</v>
      </c>
      <c r="AP25" s="26">
        <f ca="1">+'TUSD BE'!$T$25+'TUSD BE'!$AB$25+'TUSD BE'!$AD$25+'TUSD BE'!$AL$25</f>
        <v>808.80152935754006</v>
      </c>
    </row>
    <row r="26" spans="1:42" ht="11.25" customHeight="1" x14ac:dyDescent="0.25">
      <c r="A26" s="103"/>
      <c r="B26" s="103"/>
      <c r="C26" s="103"/>
      <c r="D26" s="23" t="s">
        <v>41</v>
      </c>
      <c r="E26" s="23" t="s">
        <v>25</v>
      </c>
      <c r="F26" s="23" t="s">
        <v>25</v>
      </c>
      <c r="G26" s="24" t="s">
        <v>67</v>
      </c>
      <c r="H26" s="24" t="s">
        <v>60</v>
      </c>
      <c r="I26" s="24">
        <f>'MERCADO TUSD'!$U$23</f>
        <v>0</v>
      </c>
      <c r="J26" s="15"/>
      <c r="L26" s="13">
        <f>'TUSD BE'!$L$26*'TUSD BF'!$L$58</f>
        <v>0</v>
      </c>
      <c r="M26" s="13">
        <f>'TUSD BE'!$M$26*'TUSD BF'!$M$58</f>
        <v>0</v>
      </c>
      <c r="N26" s="13">
        <f ca="1">'TUSD BE'!$N$26*'TUSD BF'!$N$58</f>
        <v>0</v>
      </c>
      <c r="O26" s="13">
        <f>'TUSD BE'!$O$26*'TUSD BF'!$O$58</f>
        <v>0</v>
      </c>
      <c r="P26" s="13">
        <f>'TUSD BE'!$P$26*'TUSD BF'!$P$58</f>
        <v>0</v>
      </c>
      <c r="Q26" s="13">
        <f>'TUSD BE'!$Q$26*'TUSD BF'!$Q$58</f>
        <v>0</v>
      </c>
      <c r="R26" s="13">
        <f>'TUSD BE'!$R$26*'TUSD BF'!$R$58</f>
        <v>0</v>
      </c>
      <c r="S26" s="13">
        <f>'TUSD BE'!$R$26*'TUSD BF'!$S$58</f>
        <v>0</v>
      </c>
      <c r="T26" s="13">
        <f ca="1">SUM($L$26:$S$26)</f>
        <v>0</v>
      </c>
      <c r="U26" s="13">
        <f>'TUSD BE'!$U$26*'TUSD BF'!$U$58</f>
        <v>0</v>
      </c>
      <c r="V26" s="13">
        <f>'TUSD BE'!$V$26*'TUSD BF'!$V$58</f>
        <v>0</v>
      </c>
      <c r="W26" s="13">
        <f>'TUSD BE'!$W$26*'TUSD BF'!$W$58</f>
        <v>0</v>
      </c>
      <c r="X26" s="13">
        <f>'TUSD BE'!$X$26*'TUSD BF'!$X$58</f>
        <v>0</v>
      </c>
      <c r="Y26" s="13">
        <f>'TUSD BE'!$Y$26*'TUSD BF'!$Y$58</f>
        <v>0</v>
      </c>
      <c r="Z26" s="13">
        <f>'TUSD BE'!$Z$26*'TUSD BF'!$Z$58</f>
        <v>0</v>
      </c>
      <c r="AA26" s="13">
        <f>'TUSD BE'!$AA$26*'TUSD BF'!$AA$58</f>
        <v>0</v>
      </c>
      <c r="AB26" s="13">
        <f>SUM($U$26:$AA$26)</f>
        <v>0</v>
      </c>
      <c r="AC26" s="13">
        <f>'TUSD BE'!$AC$26*'TUSD BF'!$AC$58</f>
        <v>0</v>
      </c>
      <c r="AD26" s="13">
        <f>SUM($AC$26:$AC$26)</f>
        <v>0</v>
      </c>
      <c r="AE26" s="13">
        <f ca="1">$AO$26*$AO$55</f>
        <v>0</v>
      </c>
      <c r="AF26" s="13">
        <f ca="1">$AP$26*$AP$55</f>
        <v>0</v>
      </c>
      <c r="AG26" s="13">
        <f ca="1">SUM($AE$26:$AF$26)</f>
        <v>0</v>
      </c>
      <c r="AH26" s="13">
        <f>'TUSD BE'!$AH$26*'TUSD BF'!$AH$58</f>
        <v>0</v>
      </c>
      <c r="AI26" s="13">
        <f>'TUSD BE'!$AI$26*'TUSD BF'!$AI$58</f>
        <v>0</v>
      </c>
      <c r="AJ26" s="13">
        <f ca="1">'TUSD BE'!$AJ$26*'TUSD BF'!$AJ$58</f>
        <v>0</v>
      </c>
      <c r="AK26" s="13">
        <f ca="1">'TUSD BE'!$AK$26*'TUSD BF'!$AK$58</f>
        <v>0</v>
      </c>
      <c r="AL26" s="13">
        <f ca="1">SUM($AH$26:$AK$26)</f>
        <v>0</v>
      </c>
      <c r="AM26" s="13">
        <f ca="1">SUMIF($L$4:$AL$4,"SUBTOTAL",$L$26:$AL$26)</f>
        <v>0</v>
      </c>
      <c r="AO26" s="26">
        <f ca="1">+'TUSD BE'!$T$26+'TUSD BE'!$AB$26+'TUSD BE'!$AD$26+'TUSD BE'!$AL$26</f>
        <v>672.62649262440902</v>
      </c>
      <c r="AP26" s="26">
        <f ca="1">+'TUSD BE'!$T$26+'TUSD BE'!$AB$26+'TUSD BE'!$AD$26+'TUSD BE'!$AL$26</f>
        <v>672.62649262440902</v>
      </c>
    </row>
    <row r="27" spans="1:42" ht="11.25" customHeight="1" x14ac:dyDescent="0.25">
      <c r="A27" s="103"/>
      <c r="B27" s="103"/>
      <c r="C27" s="103"/>
      <c r="D27" s="23" t="s">
        <v>42</v>
      </c>
      <c r="E27" s="23" t="s">
        <v>25</v>
      </c>
      <c r="F27" s="23" t="s">
        <v>25</v>
      </c>
      <c r="G27" s="24" t="s">
        <v>67</v>
      </c>
      <c r="H27" s="24" t="s">
        <v>60</v>
      </c>
      <c r="I27" s="24">
        <f>'MERCADO TUSD'!$U$24</f>
        <v>0</v>
      </c>
      <c r="J27" s="15"/>
      <c r="L27" s="13">
        <f>'TUSD BE'!$L$27*'TUSD BF'!$L$58</f>
        <v>0</v>
      </c>
      <c r="M27" s="13">
        <f>'TUSD BE'!$M$27*'TUSD BF'!$M$58</f>
        <v>0</v>
      </c>
      <c r="N27" s="13">
        <f ca="1">'TUSD BE'!$N$27*'TUSD BF'!$N$58</f>
        <v>0</v>
      </c>
      <c r="O27" s="13">
        <f>'TUSD BE'!$O$27*'TUSD BF'!$O$58</f>
        <v>0</v>
      </c>
      <c r="P27" s="13">
        <f>'TUSD BE'!$P$27*'TUSD BF'!$P$58</f>
        <v>0</v>
      </c>
      <c r="Q27" s="13">
        <f>'TUSD BE'!$Q$27*'TUSD BF'!$Q$58</f>
        <v>0</v>
      </c>
      <c r="R27" s="13">
        <f>'TUSD BE'!$R$27*'TUSD BF'!$R$58</f>
        <v>0</v>
      </c>
      <c r="S27" s="13">
        <f>'TUSD BE'!$R$27*'TUSD BF'!$S$58</f>
        <v>0</v>
      </c>
      <c r="T27" s="13">
        <f ca="1">SUM($L$27:$S$27)</f>
        <v>0</v>
      </c>
      <c r="U27" s="13">
        <f>'TUSD BE'!$U$27*'TUSD BF'!$U$58</f>
        <v>0</v>
      </c>
      <c r="V27" s="13">
        <f>'TUSD BE'!$V$27*'TUSD BF'!$V$58</f>
        <v>0</v>
      </c>
      <c r="W27" s="13">
        <f>'TUSD BE'!$W$27*'TUSD BF'!$W$58</f>
        <v>0</v>
      </c>
      <c r="X27" s="13">
        <f>'TUSD BE'!$X$27*'TUSD BF'!$X$58</f>
        <v>0</v>
      </c>
      <c r="Y27" s="13">
        <f>'TUSD BE'!$Y$27*'TUSD BF'!$Y$58</f>
        <v>0</v>
      </c>
      <c r="Z27" s="13">
        <f>'TUSD BE'!$Z$27*'TUSD BF'!$Z$58</f>
        <v>0</v>
      </c>
      <c r="AA27" s="13">
        <f>'TUSD BE'!$AA$27*'TUSD BF'!$AA$58</f>
        <v>0</v>
      </c>
      <c r="AB27" s="13">
        <f>SUM($U$27:$AA$27)</f>
        <v>0</v>
      </c>
      <c r="AC27" s="13">
        <f>'TUSD BE'!$AC$27*'TUSD BF'!$AC$58</f>
        <v>0</v>
      </c>
      <c r="AD27" s="13">
        <f>SUM($AC$27:$AC$27)</f>
        <v>0</v>
      </c>
      <c r="AE27" s="13">
        <f ca="1">$AO$27*$AO$55</f>
        <v>0</v>
      </c>
      <c r="AF27" s="13">
        <f ca="1">$AP$27*$AP$55</f>
        <v>0</v>
      </c>
      <c r="AG27" s="13">
        <f ca="1">SUM($AE$27:$AF$27)</f>
        <v>0</v>
      </c>
      <c r="AH27" s="13">
        <f>'TUSD BE'!$AH$27*'TUSD BF'!$AH$58</f>
        <v>0</v>
      </c>
      <c r="AI27" s="13">
        <f>'TUSD BE'!$AI$27*'TUSD BF'!$AI$58</f>
        <v>0</v>
      </c>
      <c r="AJ27" s="13">
        <f ca="1">'TUSD BE'!$AJ$27*'TUSD BF'!$AJ$58</f>
        <v>0</v>
      </c>
      <c r="AK27" s="13">
        <f ca="1">'TUSD BE'!$AK$27*'TUSD BF'!$AK$58</f>
        <v>0</v>
      </c>
      <c r="AL27" s="13">
        <f ca="1">SUM($AH$27:$AK$27)</f>
        <v>0</v>
      </c>
      <c r="AM27" s="13">
        <f ca="1">SUMIF($L$4:$AL$4,"SUBTOTAL",$L$27:$AL$27)</f>
        <v>0</v>
      </c>
      <c r="AO27" s="26">
        <f ca="1">+'TUSD BE'!$T$27+'TUSD BE'!$AB$27+'TUSD BE'!$AD$27+'TUSD BE'!$AL$27</f>
        <v>672.62649262440902</v>
      </c>
      <c r="AP27" s="26">
        <f ca="1">+'TUSD BE'!$T$27+'TUSD BE'!$AB$27+'TUSD BE'!$AD$27+'TUSD BE'!$AL$27</f>
        <v>672.62649262440902</v>
      </c>
    </row>
    <row r="28" spans="1:42" ht="11.25" customHeight="1" x14ac:dyDescent="0.25">
      <c r="A28" s="103"/>
      <c r="B28" s="103"/>
      <c r="C28" s="103"/>
      <c r="D28" s="23" t="s">
        <v>39</v>
      </c>
      <c r="E28" s="23" t="s">
        <v>25</v>
      </c>
      <c r="F28" s="23" t="s">
        <v>25</v>
      </c>
      <c r="G28" s="24" t="s">
        <v>67</v>
      </c>
      <c r="H28" s="24" t="s">
        <v>60</v>
      </c>
      <c r="I28" s="24">
        <f>'MERCADO TUSD'!$U$25</f>
        <v>0</v>
      </c>
      <c r="J28" s="15"/>
      <c r="L28" s="13">
        <f>'TUSD BE'!$L$28*'TUSD BF'!$L$58</f>
        <v>0</v>
      </c>
      <c r="M28" s="13">
        <f>'TUSD BE'!$M$28*'TUSD BF'!$M$58</f>
        <v>0</v>
      </c>
      <c r="N28" s="13">
        <f ca="1">'TUSD BE'!$N$28*'TUSD BF'!$N$58</f>
        <v>0</v>
      </c>
      <c r="O28" s="13">
        <f>'TUSD BE'!$O$28*'TUSD BF'!$O$58</f>
        <v>0</v>
      </c>
      <c r="P28" s="13">
        <f>'TUSD BE'!$P$28*'TUSD BF'!$P$58</f>
        <v>0</v>
      </c>
      <c r="Q28" s="13">
        <f>'TUSD BE'!$Q$28*'TUSD BF'!$Q$58</f>
        <v>0</v>
      </c>
      <c r="R28" s="13">
        <f>'TUSD BE'!$R$28*'TUSD BF'!$R$58</f>
        <v>0</v>
      </c>
      <c r="S28" s="13">
        <f>'TUSD BE'!$R$28*'TUSD BF'!$S$58</f>
        <v>0</v>
      </c>
      <c r="T28" s="13">
        <f ca="1">SUM($L$28:$S$28)</f>
        <v>0</v>
      </c>
      <c r="U28" s="13">
        <f>'TUSD BE'!$U$28*'TUSD BF'!$U$58</f>
        <v>0</v>
      </c>
      <c r="V28" s="13">
        <f>'TUSD BE'!$V$28*'TUSD BF'!$V$58</f>
        <v>0</v>
      </c>
      <c r="W28" s="13">
        <f>'TUSD BE'!$W$28*'TUSD BF'!$W$58</f>
        <v>0</v>
      </c>
      <c r="X28" s="13">
        <f>'TUSD BE'!$X$28*'TUSD BF'!$X$58</f>
        <v>0</v>
      </c>
      <c r="Y28" s="13">
        <f>'TUSD BE'!$Y$28*'TUSD BF'!$Y$58</f>
        <v>0</v>
      </c>
      <c r="Z28" s="13">
        <f>'TUSD BE'!$Z$28*'TUSD BF'!$Z$58</f>
        <v>0</v>
      </c>
      <c r="AA28" s="13">
        <f>'TUSD BE'!$AA$28*'TUSD BF'!$AA$58</f>
        <v>0</v>
      </c>
      <c r="AB28" s="13">
        <f>SUM($U$28:$AA$28)</f>
        <v>0</v>
      </c>
      <c r="AC28" s="13">
        <f>'TUSD BE'!$AC$28*'TUSD BF'!$AC$58</f>
        <v>0</v>
      </c>
      <c r="AD28" s="13">
        <f>SUM($AC$28:$AC$28)</f>
        <v>0</v>
      </c>
      <c r="AE28" s="13">
        <f ca="1">$AO$28*$AO$55</f>
        <v>0</v>
      </c>
      <c r="AF28" s="13">
        <f ca="1">$AP$28*$AP$55</f>
        <v>0</v>
      </c>
      <c r="AG28" s="13">
        <f ca="1">SUM($AE$28:$AF$28)</f>
        <v>0</v>
      </c>
      <c r="AH28" s="13">
        <f>'TUSD BE'!$AH$28*'TUSD BF'!$AH$58</f>
        <v>0</v>
      </c>
      <c r="AI28" s="13">
        <f>'TUSD BE'!$AI$28*'TUSD BF'!$AI$58</f>
        <v>0</v>
      </c>
      <c r="AJ28" s="13">
        <f ca="1">'TUSD BE'!$AJ$28*'TUSD BF'!$AJ$58</f>
        <v>0</v>
      </c>
      <c r="AK28" s="13">
        <f ca="1">'TUSD BE'!$AK$28*'TUSD BF'!$AK$58</f>
        <v>0</v>
      </c>
      <c r="AL28" s="13">
        <f ca="1">SUM($AH$28:$AK$28)</f>
        <v>0</v>
      </c>
      <c r="AM28" s="13">
        <f ca="1">SUMIF($L$4:$AL$4,"SUBTOTAL",$L$28:$AL$28)</f>
        <v>0</v>
      </c>
      <c r="AO28" s="26">
        <f ca="1">+'TUSD BE'!$T$28+'TUSD BE'!$AB$28+'TUSD BE'!$AD$28+'TUSD BE'!$AL$28</f>
        <v>672.62649262440902</v>
      </c>
      <c r="AP28" s="26">
        <f ca="1">+'TUSD BE'!$T$28+'TUSD BE'!$AB$28+'TUSD BE'!$AD$28+'TUSD BE'!$AL$28</f>
        <v>672.62649262440902</v>
      </c>
    </row>
    <row r="29" spans="1:42" ht="11.25" customHeight="1" x14ac:dyDescent="0.25">
      <c r="A29" s="103"/>
      <c r="B29" s="103"/>
      <c r="C29" s="103"/>
      <c r="D29" s="23" t="s">
        <v>40</v>
      </c>
      <c r="E29" s="23" t="s">
        <v>25</v>
      </c>
      <c r="F29" s="23" t="s">
        <v>25</v>
      </c>
      <c r="G29" s="24" t="s">
        <v>67</v>
      </c>
      <c r="H29" s="24" t="s">
        <v>60</v>
      </c>
      <c r="I29" s="24">
        <f>'MERCADO TUSD'!$U$26</f>
        <v>0</v>
      </c>
      <c r="J29" s="15"/>
      <c r="L29" s="13">
        <f>'TUSD BE'!$L$29*'TUSD BF'!$L$58</f>
        <v>0</v>
      </c>
      <c r="M29" s="13">
        <f>'TUSD BE'!$M$29*'TUSD BF'!$M$58</f>
        <v>0</v>
      </c>
      <c r="N29" s="13">
        <f ca="1">'TUSD BE'!$N$29*'TUSD BF'!$N$58</f>
        <v>0</v>
      </c>
      <c r="O29" s="13">
        <f>'TUSD BE'!$O$29*'TUSD BF'!$O$58</f>
        <v>0</v>
      </c>
      <c r="P29" s="13">
        <f>'TUSD BE'!$P$29*'TUSD BF'!$P$58</f>
        <v>0</v>
      </c>
      <c r="Q29" s="13">
        <f>'TUSD BE'!$Q$29*'TUSD BF'!$Q$58</f>
        <v>0</v>
      </c>
      <c r="R29" s="13">
        <f>'TUSD BE'!$R$29*'TUSD BF'!$R$58</f>
        <v>0</v>
      </c>
      <c r="S29" s="13">
        <f>'TUSD BE'!$R$29*'TUSD BF'!$S$58</f>
        <v>0</v>
      </c>
      <c r="T29" s="13">
        <f ca="1">SUM($L$29:$S$29)</f>
        <v>0</v>
      </c>
      <c r="U29" s="13">
        <f>'TUSD BE'!$U$29*'TUSD BF'!$U$58</f>
        <v>0</v>
      </c>
      <c r="V29" s="13">
        <f>'TUSD BE'!$V$29*'TUSD BF'!$V$58</f>
        <v>0</v>
      </c>
      <c r="W29" s="13">
        <f>'TUSD BE'!$W$29*'TUSD BF'!$W$58</f>
        <v>0</v>
      </c>
      <c r="X29" s="13">
        <f>'TUSD BE'!$X$29*'TUSD BF'!$X$58</f>
        <v>0</v>
      </c>
      <c r="Y29" s="13">
        <f>'TUSD BE'!$Y$29*'TUSD BF'!$Y$58</f>
        <v>0</v>
      </c>
      <c r="Z29" s="13">
        <f>'TUSD BE'!$Z$29*'TUSD BF'!$Z$58</f>
        <v>0</v>
      </c>
      <c r="AA29" s="13">
        <f>'TUSD BE'!$AA$29*'TUSD BF'!$AA$58</f>
        <v>0</v>
      </c>
      <c r="AB29" s="13">
        <f>SUM($U$29:$AA$29)</f>
        <v>0</v>
      </c>
      <c r="AC29" s="13">
        <f>'TUSD BE'!$AC$29*'TUSD BF'!$AC$58</f>
        <v>0</v>
      </c>
      <c r="AD29" s="13">
        <f>SUM($AC$29:$AC$29)</f>
        <v>0</v>
      </c>
      <c r="AE29" s="13">
        <f ca="1">$AO$29*$AO$55</f>
        <v>0</v>
      </c>
      <c r="AF29" s="13">
        <f ca="1">$AP$29*$AP$55</f>
        <v>0</v>
      </c>
      <c r="AG29" s="13">
        <f ca="1">SUM($AE$29:$AF$29)</f>
        <v>0</v>
      </c>
      <c r="AH29" s="13">
        <f>'TUSD BE'!$AH$29*'TUSD BF'!$AH$58</f>
        <v>0</v>
      </c>
      <c r="AI29" s="13">
        <f>'TUSD BE'!$AI$29*'TUSD BF'!$AI$58</f>
        <v>0</v>
      </c>
      <c r="AJ29" s="13">
        <f ca="1">'TUSD BE'!$AJ$29*'TUSD BF'!$AJ$58</f>
        <v>0</v>
      </c>
      <c r="AK29" s="13">
        <f ca="1">'TUSD BE'!$AK$29*'TUSD BF'!$AK$58</f>
        <v>0</v>
      </c>
      <c r="AL29" s="13">
        <f ca="1">SUM($AH$29:$AK$29)</f>
        <v>0</v>
      </c>
      <c r="AM29" s="13">
        <f ca="1">SUMIF($L$4:$AL$4,"SUBTOTAL",$L$29:$AL$29)</f>
        <v>0</v>
      </c>
      <c r="AO29" s="26">
        <f ca="1">+'TUSD BE'!$T$29+'TUSD BE'!$AB$29+'TUSD BE'!$AD$29+'TUSD BE'!$AL$29</f>
        <v>672.62649262440902</v>
      </c>
      <c r="AP29" s="26">
        <f ca="1">+'TUSD BE'!$T$29+'TUSD BE'!$AB$29+'TUSD BE'!$AD$29+'TUSD BE'!$AL$29</f>
        <v>672.62649262440902</v>
      </c>
    </row>
    <row r="30" spans="1:42" ht="11.25" customHeight="1" x14ac:dyDescent="0.25">
      <c r="A30" s="103" t="s">
        <v>31</v>
      </c>
      <c r="B30" s="103" t="s">
        <v>76</v>
      </c>
      <c r="C30" s="103" t="s">
        <v>32</v>
      </c>
      <c r="D30" s="103" t="s">
        <v>25</v>
      </c>
      <c r="E30" s="103" t="s">
        <v>25</v>
      </c>
      <c r="F30" s="103" t="s">
        <v>25</v>
      </c>
      <c r="G30" s="24" t="s">
        <v>61</v>
      </c>
      <c r="H30" s="24" t="s">
        <v>60</v>
      </c>
      <c r="I30" s="24">
        <f>'MERCADO TUSD'!$U$27</f>
        <v>0</v>
      </c>
      <c r="J30" s="15"/>
      <c r="L30" s="13">
        <f>'TUSD BE'!$L$30*'TUSD BF'!$L$58</f>
        <v>0</v>
      </c>
      <c r="M30" s="13">
        <f>'TUSD BE'!$M$30*'TUSD BF'!$M$58</f>
        <v>0</v>
      </c>
      <c r="N30" s="13">
        <f ca="1">'TUSD BE'!$N$30*'TUSD BF'!$N$58</f>
        <v>0</v>
      </c>
      <c r="O30" s="13">
        <f>'TUSD BE'!$O$30*'TUSD BF'!$O$58</f>
        <v>0</v>
      </c>
      <c r="P30" s="13">
        <f>'TUSD BE'!$P$30*'TUSD BF'!$P$58</f>
        <v>0</v>
      </c>
      <c r="Q30" s="13">
        <f>'TUSD BE'!$Q$30*'TUSD BF'!$Q$58</f>
        <v>0</v>
      </c>
      <c r="R30" s="13">
        <f>'TUSD BE'!$R$30*'TUSD BF'!$R$58</f>
        <v>0</v>
      </c>
      <c r="S30" s="13">
        <f>'TUSD BE'!$R$30*'TUSD BF'!$S$58</f>
        <v>0</v>
      </c>
      <c r="T30" s="13">
        <f ca="1">SUM($L$30:$S$30)</f>
        <v>0</v>
      </c>
      <c r="U30" s="13">
        <f>'TUSD BE'!$U$30*'TUSD BF'!$U$58</f>
        <v>0</v>
      </c>
      <c r="V30" s="13">
        <f>'TUSD BE'!$V$30*'TUSD BF'!$V$58</f>
        <v>0</v>
      </c>
      <c r="W30" s="13">
        <f>'TUSD BE'!$W$30*'TUSD BF'!$W$58</f>
        <v>0</v>
      </c>
      <c r="X30" s="13">
        <f>'TUSD BE'!$X$30*'TUSD BF'!$X$58</f>
        <v>0</v>
      </c>
      <c r="Y30" s="13">
        <f>'TUSD BE'!$Y$30*'TUSD BF'!$Y$58</f>
        <v>0</v>
      </c>
      <c r="Z30" s="13">
        <f>'TUSD BE'!$Z$30*'TUSD BF'!$Z$58</f>
        <v>0</v>
      </c>
      <c r="AA30" s="13">
        <f>'TUSD BE'!$AA$30*'TUSD BF'!$AA$58</f>
        <v>0</v>
      </c>
      <c r="AB30" s="13">
        <f>SUM($U$30:$AA$30)</f>
        <v>0</v>
      </c>
      <c r="AC30" s="13">
        <f>'TUSD BE'!$AC$30*'TUSD BF'!$AC$58</f>
        <v>0</v>
      </c>
      <c r="AD30" s="13">
        <f>SUM($AC$30:$AC$30)</f>
        <v>0</v>
      </c>
      <c r="AE30" s="13">
        <f ca="1">$AO$30*$AO$55</f>
        <v>0</v>
      </c>
      <c r="AF30" s="13">
        <f ca="1">$AP$30*$AP$55</f>
        <v>0</v>
      </c>
      <c r="AG30" s="13">
        <f ca="1">SUM($AE$30:$AF$30)</f>
        <v>0</v>
      </c>
      <c r="AH30" s="13">
        <f>'TUSD BE'!$AH$30*'TUSD BF'!$AH$58</f>
        <v>0</v>
      </c>
      <c r="AI30" s="13">
        <f>'TUSD BE'!$AI$30*'TUSD BF'!$AI$58</f>
        <v>0</v>
      </c>
      <c r="AJ30" s="13">
        <f ca="1">'TUSD BE'!$AJ$30*'TUSD BF'!$AJ$58</f>
        <v>0</v>
      </c>
      <c r="AK30" s="13">
        <f ca="1">'TUSD BE'!$AK$30*'TUSD BF'!$AK$58</f>
        <v>0</v>
      </c>
      <c r="AL30" s="13">
        <f ca="1">SUM($AH$30:$AK$30)</f>
        <v>0</v>
      </c>
      <c r="AM30" s="13">
        <f ca="1">SUMIF($L$4:$AL$4,"SUBTOTAL",$L$30:$AL$30)</f>
        <v>0</v>
      </c>
      <c r="AO30" s="26">
        <f ca="1">+'TUSD BE'!$T$30+'TUSD BE'!$AB$30+'TUSD BE'!$AD$30+'TUSD BE'!$AL$30</f>
        <v>2090.3841339881624</v>
      </c>
      <c r="AP30" s="26">
        <f ca="1">+'TUSD BE'!$T$30+'TUSD BE'!$AB$30+'TUSD BE'!$AD$30+'TUSD BE'!$AL$30</f>
        <v>2090.3841339881624</v>
      </c>
    </row>
    <row r="31" spans="1:42" ht="11.25" customHeight="1" x14ac:dyDescent="0.25">
      <c r="A31" s="103"/>
      <c r="B31" s="103"/>
      <c r="C31" s="103"/>
      <c r="D31" s="103"/>
      <c r="E31" s="103"/>
      <c r="F31" s="103"/>
      <c r="G31" s="24" t="s">
        <v>74</v>
      </c>
      <c r="H31" s="24" t="s">
        <v>60</v>
      </c>
      <c r="I31" s="24">
        <f>'MERCADO TUSD'!$U$28</f>
        <v>0</v>
      </c>
      <c r="J31" s="15"/>
      <c r="L31" s="13">
        <f>'TUSD BE'!$L$31*'TUSD BF'!$L$58</f>
        <v>0</v>
      </c>
      <c r="M31" s="13">
        <f>'TUSD BE'!$M$31*'TUSD BF'!$M$58</f>
        <v>0</v>
      </c>
      <c r="N31" s="13">
        <f ca="1">'TUSD BE'!$N$31*'TUSD BF'!$N$58</f>
        <v>0</v>
      </c>
      <c r="O31" s="13">
        <f>'TUSD BE'!$O$31*'TUSD BF'!$O$58</f>
        <v>0</v>
      </c>
      <c r="P31" s="13">
        <f>'TUSD BE'!$P$31*'TUSD BF'!$P$58</f>
        <v>0</v>
      </c>
      <c r="Q31" s="13">
        <f>'TUSD BE'!$Q$31*'TUSD BF'!$Q$58</f>
        <v>0</v>
      </c>
      <c r="R31" s="13">
        <f>'TUSD BE'!$R$31*'TUSD BF'!$R$58</f>
        <v>0</v>
      </c>
      <c r="S31" s="13">
        <f>'TUSD BE'!$R$31*'TUSD BF'!$S$58</f>
        <v>0</v>
      </c>
      <c r="T31" s="13">
        <f ca="1">SUM($L$31:$S$31)</f>
        <v>0</v>
      </c>
      <c r="U31" s="13">
        <f>'TUSD BE'!$U$31*'TUSD BF'!$U$58</f>
        <v>0</v>
      </c>
      <c r="V31" s="13">
        <f>'TUSD BE'!$V$31*'TUSD BF'!$V$58</f>
        <v>0</v>
      </c>
      <c r="W31" s="13">
        <f>'TUSD BE'!$W$31*'TUSD BF'!$W$58</f>
        <v>0</v>
      </c>
      <c r="X31" s="13">
        <f>'TUSD BE'!$X$31*'TUSD BF'!$X$58</f>
        <v>0</v>
      </c>
      <c r="Y31" s="13">
        <f>'TUSD BE'!$Y$31*'TUSD BF'!$Y$58</f>
        <v>0</v>
      </c>
      <c r="Z31" s="13">
        <f>'TUSD BE'!$Z$31*'TUSD BF'!$Z$58</f>
        <v>0</v>
      </c>
      <c r="AA31" s="13">
        <f>'TUSD BE'!$AA$31*'TUSD BF'!$AA$58</f>
        <v>0</v>
      </c>
      <c r="AB31" s="13">
        <f>SUM($U$31:$AA$31)</f>
        <v>0</v>
      </c>
      <c r="AC31" s="13">
        <f>'TUSD BE'!$AC$31*'TUSD BF'!$AC$58</f>
        <v>0</v>
      </c>
      <c r="AD31" s="13">
        <f>SUM($AC$31:$AC$31)</f>
        <v>0</v>
      </c>
      <c r="AE31" s="13">
        <f ca="1">$AO$31*$AO$55</f>
        <v>0</v>
      </c>
      <c r="AF31" s="13">
        <f ca="1">$AP$31*$AP$55</f>
        <v>0</v>
      </c>
      <c r="AG31" s="13">
        <f ca="1">SUM($AE$31:$AF$31)</f>
        <v>0</v>
      </c>
      <c r="AH31" s="13">
        <f>'TUSD BE'!$AH$31*'TUSD BF'!$AH$58</f>
        <v>0</v>
      </c>
      <c r="AI31" s="13">
        <f>'TUSD BE'!$AI$31*'TUSD BF'!$AI$58</f>
        <v>0</v>
      </c>
      <c r="AJ31" s="13">
        <f ca="1">'TUSD BE'!$AJ$31*'TUSD BF'!$AJ$58</f>
        <v>0</v>
      </c>
      <c r="AK31" s="13">
        <f ca="1">'TUSD BE'!$AK$31*'TUSD BF'!$AK$58</f>
        <v>0</v>
      </c>
      <c r="AL31" s="13">
        <f ca="1">SUM($AH$31:$AK$31)</f>
        <v>0</v>
      </c>
      <c r="AM31" s="13">
        <f ca="1">SUMIF($L$4:$AL$4,"SUBTOTAL",$L$31:$AL$31)</f>
        <v>0</v>
      </c>
      <c r="AO31" s="26">
        <f ca="1">+'TUSD BE'!$T$31+'TUSD BE'!$AB$31+'TUSD BE'!$AD$31+'TUSD BE'!$AL$31</f>
        <v>1314.834588631162</v>
      </c>
      <c r="AP31" s="26">
        <f ca="1">+'TUSD BE'!$T$31+'TUSD BE'!$AB$31+'TUSD BE'!$AD$31+'TUSD BE'!$AL$31</f>
        <v>1314.834588631162</v>
      </c>
    </row>
    <row r="32" spans="1:42" ht="11.25" customHeight="1" x14ac:dyDescent="0.25">
      <c r="A32" s="103"/>
      <c r="B32" s="103"/>
      <c r="C32" s="103"/>
      <c r="D32" s="103"/>
      <c r="E32" s="103"/>
      <c r="F32" s="103"/>
      <c r="G32" s="24" t="s">
        <v>62</v>
      </c>
      <c r="H32" s="24" t="s">
        <v>60</v>
      </c>
      <c r="I32" s="24">
        <f>'MERCADO TUSD'!$U$29</f>
        <v>0</v>
      </c>
      <c r="J32" s="15"/>
      <c r="L32" s="13">
        <f>'TUSD BE'!$L$32*'TUSD BF'!$L$58</f>
        <v>0</v>
      </c>
      <c r="M32" s="13">
        <f>'TUSD BE'!$M$32*'TUSD BF'!$M$58</f>
        <v>0</v>
      </c>
      <c r="N32" s="13">
        <f ca="1">'TUSD BE'!$N$32*'TUSD BF'!$N$58</f>
        <v>0</v>
      </c>
      <c r="O32" s="13">
        <f>'TUSD BE'!$O$32*'TUSD BF'!$O$58</f>
        <v>0</v>
      </c>
      <c r="P32" s="13">
        <f>'TUSD BE'!$P$32*'TUSD BF'!$P$58</f>
        <v>0</v>
      </c>
      <c r="Q32" s="13">
        <f>'TUSD BE'!$Q$32*'TUSD BF'!$Q$58</f>
        <v>0</v>
      </c>
      <c r="R32" s="13">
        <f>'TUSD BE'!$R$32*'TUSD BF'!$R$58</f>
        <v>0</v>
      </c>
      <c r="S32" s="13">
        <f>'TUSD BE'!$R$32*'TUSD BF'!$S$58</f>
        <v>0</v>
      </c>
      <c r="T32" s="13">
        <f ca="1">SUM($L$32:$S$32)</f>
        <v>0</v>
      </c>
      <c r="U32" s="13">
        <f>'TUSD BE'!$U$32*'TUSD BF'!$U$58</f>
        <v>0</v>
      </c>
      <c r="V32" s="13">
        <f>'TUSD BE'!$V$32*'TUSD BF'!$V$58</f>
        <v>0</v>
      </c>
      <c r="W32" s="13">
        <f>'TUSD BE'!$W$32*'TUSD BF'!$W$58</f>
        <v>0</v>
      </c>
      <c r="X32" s="13">
        <f>'TUSD BE'!$X$32*'TUSD BF'!$X$58</f>
        <v>0</v>
      </c>
      <c r="Y32" s="13">
        <f>'TUSD BE'!$Y$32*'TUSD BF'!$Y$58</f>
        <v>0</v>
      </c>
      <c r="Z32" s="13">
        <f>'TUSD BE'!$Z$32*'TUSD BF'!$Z$58</f>
        <v>0</v>
      </c>
      <c r="AA32" s="13">
        <f>'TUSD BE'!$AA$32*'TUSD BF'!$AA$58</f>
        <v>0</v>
      </c>
      <c r="AB32" s="13">
        <f>SUM($U$32:$AA$32)</f>
        <v>0</v>
      </c>
      <c r="AC32" s="13">
        <f>'TUSD BE'!$AC$32*'TUSD BF'!$AC$58</f>
        <v>0</v>
      </c>
      <c r="AD32" s="13">
        <f>SUM($AC$32:$AC$32)</f>
        <v>0</v>
      </c>
      <c r="AE32" s="13">
        <f ca="1">$AO$32*$AO$55</f>
        <v>0</v>
      </c>
      <c r="AF32" s="13">
        <f ca="1">$AP$32*$AP$55</f>
        <v>0</v>
      </c>
      <c r="AG32" s="13">
        <f ca="1">SUM($AE$32:$AF$32)</f>
        <v>0</v>
      </c>
      <c r="AH32" s="13">
        <f>'TUSD BE'!$AH$32*'TUSD BF'!$AH$58</f>
        <v>0</v>
      </c>
      <c r="AI32" s="13">
        <f>'TUSD BE'!$AI$32*'TUSD BF'!$AI$58</f>
        <v>0</v>
      </c>
      <c r="AJ32" s="13">
        <f ca="1">'TUSD BE'!$AJ$32*'TUSD BF'!$AJ$58</f>
        <v>0</v>
      </c>
      <c r="AK32" s="13">
        <f ca="1">'TUSD BE'!$AK$32*'TUSD BF'!$AK$58</f>
        <v>0</v>
      </c>
      <c r="AL32" s="13">
        <f ca="1">SUM($AH$32:$AK$32)</f>
        <v>0</v>
      </c>
      <c r="AM32" s="13">
        <f ca="1">SUMIF($L$4:$AL$4,"SUBTOTAL",$L$32:$AL$32)</f>
        <v>0</v>
      </c>
      <c r="AO32" s="26">
        <f ca="1">+'TUSD BE'!$T$32+'TUSD BE'!$AB$32+'TUSD BE'!$AD$32+'TUSD BE'!$AL$32</f>
        <v>539.2854855679243</v>
      </c>
      <c r="AP32" s="26">
        <f ca="1">+'TUSD BE'!$T$32+'TUSD BE'!$AB$32+'TUSD BE'!$AD$32+'TUSD BE'!$AL$32</f>
        <v>539.2854855679243</v>
      </c>
    </row>
    <row r="33" spans="1:42" ht="11.25" customHeight="1" x14ac:dyDescent="0.25">
      <c r="A33" s="103"/>
      <c r="B33" s="23" t="s">
        <v>23</v>
      </c>
      <c r="C33" s="23" t="s">
        <v>32</v>
      </c>
      <c r="D33" s="23" t="s">
        <v>25</v>
      </c>
      <c r="E33" s="23" t="s">
        <v>25</v>
      </c>
      <c r="F33" s="23" t="s">
        <v>25</v>
      </c>
      <c r="G33" s="24" t="s">
        <v>67</v>
      </c>
      <c r="H33" s="24" t="s">
        <v>60</v>
      </c>
      <c r="I33" s="24">
        <f>'MERCADO TUSD'!$U$30</f>
        <v>6180.567</v>
      </c>
      <c r="J33" s="15"/>
      <c r="L33" s="13">
        <f>'TUSD BE'!$L$33*'TUSD BF'!$L$58</f>
        <v>0</v>
      </c>
      <c r="M33" s="13">
        <f>'TUSD BE'!$M$33*'TUSD BF'!$M$58</f>
        <v>0</v>
      </c>
      <c r="N33" s="13">
        <f ca="1">'TUSD BE'!$N$33*'TUSD BF'!$N$58</f>
        <v>0</v>
      </c>
      <c r="O33" s="13">
        <f>'TUSD BE'!$O$33*'TUSD BF'!$O$58</f>
        <v>0</v>
      </c>
      <c r="P33" s="13">
        <f>'TUSD BE'!$P$33*'TUSD BF'!$P$58</f>
        <v>0</v>
      </c>
      <c r="Q33" s="13">
        <f>'TUSD BE'!$Q$33*'TUSD BF'!$Q$58</f>
        <v>0</v>
      </c>
      <c r="R33" s="13">
        <f>'TUSD BE'!$R$33*'TUSD BF'!$R$58</f>
        <v>0</v>
      </c>
      <c r="S33" s="13">
        <f>'TUSD BE'!$R$33*'TUSD BF'!$S$58</f>
        <v>0</v>
      </c>
      <c r="T33" s="13">
        <f ca="1">SUM($L$33:$S$33)</f>
        <v>0</v>
      </c>
      <c r="U33" s="13">
        <f>'TUSD BE'!$U$33*'TUSD BF'!$U$58</f>
        <v>0</v>
      </c>
      <c r="V33" s="13">
        <f>'TUSD BE'!$V$33*'TUSD BF'!$V$58</f>
        <v>0</v>
      </c>
      <c r="W33" s="13">
        <f>'TUSD BE'!$W$33*'TUSD BF'!$W$58</f>
        <v>0</v>
      </c>
      <c r="X33" s="13">
        <f>'TUSD BE'!$X$33*'TUSD BF'!$X$58</f>
        <v>0</v>
      </c>
      <c r="Y33" s="13">
        <f>'TUSD BE'!$Y$33*'TUSD BF'!$Y$58</f>
        <v>0</v>
      </c>
      <c r="Z33" s="13">
        <f>'TUSD BE'!$Z$33*'TUSD BF'!$Z$58</f>
        <v>0</v>
      </c>
      <c r="AA33" s="13">
        <f>'TUSD BE'!$AA$33*'TUSD BF'!$AA$58</f>
        <v>0</v>
      </c>
      <c r="AB33" s="13">
        <f>SUM($U$33:$AA$33)</f>
        <v>0</v>
      </c>
      <c r="AC33" s="13">
        <f>'TUSD BE'!$AC$33*'TUSD BF'!$AC$58</f>
        <v>0</v>
      </c>
      <c r="AD33" s="13">
        <f>SUM($AC$33:$AC$33)</f>
        <v>0</v>
      </c>
      <c r="AE33" s="13">
        <f ca="1">$AO$33*$AO$55</f>
        <v>0</v>
      </c>
      <c r="AF33" s="13">
        <f ca="1">$AP$33*$AP$55</f>
        <v>0</v>
      </c>
      <c r="AG33" s="13">
        <f ca="1">SUM($AE$33:$AF$33)</f>
        <v>0</v>
      </c>
      <c r="AH33" s="13">
        <f>'TUSD BE'!$AH$33*'TUSD BF'!$AH$58</f>
        <v>0</v>
      </c>
      <c r="AI33" s="13">
        <f>'TUSD BE'!$AI$33*'TUSD BF'!$AI$58</f>
        <v>0</v>
      </c>
      <c r="AJ33" s="13">
        <f ca="1">'TUSD BE'!$AJ$33*'TUSD BF'!$AJ$58</f>
        <v>0</v>
      </c>
      <c r="AK33" s="13">
        <f ca="1">'TUSD BE'!$AK$33*'TUSD BF'!$AK$58</f>
        <v>0</v>
      </c>
      <c r="AL33" s="13">
        <f ca="1">SUM($AH$33:$AK$33)</f>
        <v>0</v>
      </c>
      <c r="AM33" s="13">
        <f ca="1">SUMIF($L$4:$AL$4,"SUBTOTAL",$L$33:$AL$33)</f>
        <v>0</v>
      </c>
      <c r="AO33" s="26">
        <f ca="1">+'TUSD BE'!$T$33+'TUSD BE'!$AB$33+'TUSD BE'!$AD$33+'TUSD BE'!$AL$33</f>
        <v>808.80152935754006</v>
      </c>
      <c r="AP33" s="26">
        <f ca="1">+'TUSD BE'!$T$33+'TUSD BE'!$AB$33+'TUSD BE'!$AD$33+'TUSD BE'!$AL$33</f>
        <v>808.80152935754006</v>
      </c>
    </row>
    <row r="34" spans="1:42" ht="11.25" customHeight="1" x14ac:dyDescent="0.25">
      <c r="A34" s="103"/>
      <c r="B34" s="103" t="s">
        <v>76</v>
      </c>
      <c r="C34" s="103" t="s">
        <v>32</v>
      </c>
      <c r="D34" s="103" t="s">
        <v>79</v>
      </c>
      <c r="E34" s="103" t="s">
        <v>25</v>
      </c>
      <c r="F34" s="103" t="s">
        <v>25</v>
      </c>
      <c r="G34" s="24" t="s">
        <v>61</v>
      </c>
      <c r="H34" s="24" t="s">
        <v>60</v>
      </c>
      <c r="I34" s="24">
        <f>'MERCADO TUSD'!$U$31</f>
        <v>0</v>
      </c>
      <c r="J34" s="15"/>
      <c r="L34" s="13">
        <f>'TUSD BE'!$L$34*'TUSD BF'!$L$58</f>
        <v>0</v>
      </c>
      <c r="M34" s="13">
        <f>'TUSD BE'!$M$34*'TUSD BF'!$M$58</f>
        <v>0</v>
      </c>
      <c r="N34" s="13">
        <f ca="1">'TUSD BE'!$N$34*'TUSD BF'!$N$58</f>
        <v>0</v>
      </c>
      <c r="O34" s="13">
        <f>'TUSD BE'!$O$34*'TUSD BF'!$O$58</f>
        <v>0</v>
      </c>
      <c r="P34" s="13">
        <f>'TUSD BE'!$P$34*'TUSD BF'!$P$58</f>
        <v>0</v>
      </c>
      <c r="Q34" s="13">
        <f>'TUSD BE'!$Q$34*'TUSD BF'!$Q$58</f>
        <v>0</v>
      </c>
      <c r="R34" s="13">
        <f>'TUSD BE'!$R$34*'TUSD BF'!$R$58</f>
        <v>0</v>
      </c>
      <c r="S34" s="13">
        <f>'TUSD BE'!$R$34*'TUSD BF'!$S$58</f>
        <v>0</v>
      </c>
      <c r="T34" s="13">
        <f ca="1">SUM($L$34:$S$34)</f>
        <v>0</v>
      </c>
      <c r="U34" s="13">
        <f>'TUSD BE'!$U$34*'TUSD BF'!$U$58</f>
        <v>0</v>
      </c>
      <c r="V34" s="13">
        <f>'TUSD BE'!$V$34*'TUSD BF'!$V$58</f>
        <v>0</v>
      </c>
      <c r="W34" s="13">
        <f>'TUSD BE'!$W$34*'TUSD BF'!$W$58</f>
        <v>0</v>
      </c>
      <c r="X34" s="13">
        <f>'TUSD BE'!$X$34*'TUSD BF'!$X$58</f>
        <v>0</v>
      </c>
      <c r="Y34" s="13">
        <f>'TUSD BE'!$Y$34*'TUSD BF'!$Y$58</f>
        <v>0</v>
      </c>
      <c r="Z34" s="13">
        <f>'TUSD BE'!$Z$34*'TUSD BF'!$Z$58</f>
        <v>0</v>
      </c>
      <c r="AA34" s="13">
        <f>'TUSD BE'!$AA$34*'TUSD BF'!$AA$58</f>
        <v>0</v>
      </c>
      <c r="AB34" s="13">
        <f>SUM($U$34:$AA$34)</f>
        <v>0</v>
      </c>
      <c r="AC34" s="13">
        <f>'TUSD BE'!$AC$34*'TUSD BF'!$AC$58</f>
        <v>0</v>
      </c>
      <c r="AD34" s="13">
        <f>SUM($AC$34:$AC$34)</f>
        <v>0</v>
      </c>
      <c r="AE34" s="13">
        <f ca="1">$AO$34*$AO$55</f>
        <v>0</v>
      </c>
      <c r="AF34" s="13">
        <f ca="1">$AP$34*$AP$55</f>
        <v>0</v>
      </c>
      <c r="AG34" s="13">
        <f ca="1">SUM($AE$34:$AF$34)</f>
        <v>0</v>
      </c>
      <c r="AH34" s="13">
        <f>'TUSD BE'!$AH$34*'TUSD BF'!$AH$58</f>
        <v>0</v>
      </c>
      <c r="AI34" s="13">
        <f>'TUSD BE'!$AI$34*'TUSD BF'!$AI$58</f>
        <v>0</v>
      </c>
      <c r="AJ34" s="13">
        <f ca="1">'TUSD BE'!$AJ$34*'TUSD BF'!$AJ$58</f>
        <v>0</v>
      </c>
      <c r="AK34" s="13">
        <f ca="1">'TUSD BE'!$AK$34*'TUSD BF'!$AK$58</f>
        <v>0</v>
      </c>
      <c r="AL34" s="13">
        <f ca="1">SUM($AH$34:$AK$34)</f>
        <v>0</v>
      </c>
      <c r="AM34" s="13">
        <f ca="1">SUMIF($L$4:$AL$4,"SUBTOTAL",$L$34:$AL$34)</f>
        <v>0</v>
      </c>
      <c r="AO34" s="26">
        <f ca="1">+'TUSD BE'!$T$34+'TUSD BE'!$AB$34+'TUSD BE'!$AD$34+'TUSD BE'!$AL$34</f>
        <v>2090.3841339881624</v>
      </c>
      <c r="AP34" s="26">
        <f ca="1">+'TUSD BE'!$T$34+'TUSD BE'!$AB$34+'TUSD BE'!$AD$34+'TUSD BE'!$AL$34</f>
        <v>2090.3841339881624</v>
      </c>
    </row>
    <row r="35" spans="1:42" ht="11.25" customHeight="1" x14ac:dyDescent="0.25">
      <c r="A35" s="103"/>
      <c r="B35" s="103"/>
      <c r="C35" s="103"/>
      <c r="D35" s="103"/>
      <c r="E35" s="103"/>
      <c r="F35" s="103"/>
      <c r="G35" s="24" t="s">
        <v>74</v>
      </c>
      <c r="H35" s="24" t="s">
        <v>60</v>
      </c>
      <c r="I35" s="24">
        <f>'MERCADO TUSD'!$U$32</f>
        <v>0</v>
      </c>
      <c r="J35" s="15"/>
      <c r="L35" s="13">
        <f>'TUSD BE'!$L$35*'TUSD BF'!$L$58</f>
        <v>0</v>
      </c>
      <c r="M35" s="13">
        <f>'TUSD BE'!$M$35*'TUSD BF'!$M$58</f>
        <v>0</v>
      </c>
      <c r="N35" s="13">
        <f ca="1">'TUSD BE'!$N$35*'TUSD BF'!$N$58</f>
        <v>0</v>
      </c>
      <c r="O35" s="13">
        <f>'TUSD BE'!$O$35*'TUSD BF'!$O$58</f>
        <v>0</v>
      </c>
      <c r="P35" s="13">
        <f>'TUSD BE'!$P$35*'TUSD BF'!$P$58</f>
        <v>0</v>
      </c>
      <c r="Q35" s="13">
        <f>'TUSD BE'!$Q$35*'TUSD BF'!$Q$58</f>
        <v>0</v>
      </c>
      <c r="R35" s="13">
        <f>'TUSD BE'!$R$35*'TUSD BF'!$R$58</f>
        <v>0</v>
      </c>
      <c r="S35" s="13">
        <f>'TUSD BE'!$R$35*'TUSD BF'!$S$58</f>
        <v>0</v>
      </c>
      <c r="T35" s="13">
        <f ca="1">SUM($L$35:$S$35)</f>
        <v>0</v>
      </c>
      <c r="U35" s="13">
        <f>'TUSD BE'!$U$35*'TUSD BF'!$U$58</f>
        <v>0</v>
      </c>
      <c r="V35" s="13">
        <f>'TUSD BE'!$V$35*'TUSD BF'!$V$58</f>
        <v>0</v>
      </c>
      <c r="W35" s="13">
        <f>'TUSD BE'!$W$35*'TUSD BF'!$W$58</f>
        <v>0</v>
      </c>
      <c r="X35" s="13">
        <f>'TUSD BE'!$X$35*'TUSD BF'!$X$58</f>
        <v>0</v>
      </c>
      <c r="Y35" s="13">
        <f>'TUSD BE'!$Y$35*'TUSD BF'!$Y$58</f>
        <v>0</v>
      </c>
      <c r="Z35" s="13">
        <f>'TUSD BE'!$Z$35*'TUSD BF'!$Z$58</f>
        <v>0</v>
      </c>
      <c r="AA35" s="13">
        <f>'TUSD BE'!$AA$35*'TUSD BF'!$AA$58</f>
        <v>0</v>
      </c>
      <c r="AB35" s="13">
        <f>SUM($U$35:$AA$35)</f>
        <v>0</v>
      </c>
      <c r="AC35" s="13">
        <f>'TUSD BE'!$AC$35*'TUSD BF'!$AC$58</f>
        <v>0</v>
      </c>
      <c r="AD35" s="13">
        <f>SUM($AC$35:$AC$35)</f>
        <v>0</v>
      </c>
      <c r="AE35" s="13">
        <f ca="1">$AO$35*$AO$55</f>
        <v>0</v>
      </c>
      <c r="AF35" s="13">
        <f ca="1">$AP$35*$AP$55</f>
        <v>0</v>
      </c>
      <c r="AG35" s="13">
        <f ca="1">SUM($AE$35:$AF$35)</f>
        <v>0</v>
      </c>
      <c r="AH35" s="13">
        <f>'TUSD BE'!$AH$35*'TUSD BF'!$AH$58</f>
        <v>0</v>
      </c>
      <c r="AI35" s="13">
        <f>'TUSD BE'!$AI$35*'TUSD BF'!$AI$58</f>
        <v>0</v>
      </c>
      <c r="AJ35" s="13">
        <f ca="1">'TUSD BE'!$AJ$35*'TUSD BF'!$AJ$58</f>
        <v>0</v>
      </c>
      <c r="AK35" s="13">
        <f ca="1">'TUSD BE'!$AK$35*'TUSD BF'!$AK$58</f>
        <v>0</v>
      </c>
      <c r="AL35" s="13">
        <f ca="1">SUM($AH$35:$AK$35)</f>
        <v>0</v>
      </c>
      <c r="AM35" s="13">
        <f ca="1">SUMIF($L$4:$AL$4,"SUBTOTAL",$L$35:$AL$35)</f>
        <v>0</v>
      </c>
      <c r="AO35" s="26">
        <f ca="1">+'TUSD BE'!$T$35+'TUSD BE'!$AB$35+'TUSD BE'!$AD$35+'TUSD BE'!$AL$35</f>
        <v>1314.834588631162</v>
      </c>
      <c r="AP35" s="26">
        <f ca="1">+'TUSD BE'!$T$35+'TUSD BE'!$AB$35+'TUSD BE'!$AD$35+'TUSD BE'!$AL$35</f>
        <v>1314.834588631162</v>
      </c>
    </row>
    <row r="36" spans="1:42" ht="11.25" customHeight="1" x14ac:dyDescent="0.25">
      <c r="A36" s="103"/>
      <c r="B36" s="103"/>
      <c r="C36" s="103"/>
      <c r="D36" s="103"/>
      <c r="E36" s="103"/>
      <c r="F36" s="103"/>
      <c r="G36" s="24" t="s">
        <v>62</v>
      </c>
      <c r="H36" s="24" t="s">
        <v>60</v>
      </c>
      <c r="I36" s="24">
        <f>'MERCADO TUSD'!$U$33</f>
        <v>0</v>
      </c>
      <c r="J36" s="15"/>
      <c r="L36" s="13">
        <f>'TUSD BE'!$L$36*'TUSD BF'!$L$58</f>
        <v>0</v>
      </c>
      <c r="M36" s="13">
        <f>'TUSD BE'!$M$36*'TUSD BF'!$M$58</f>
        <v>0</v>
      </c>
      <c r="N36" s="13">
        <f ca="1">'TUSD BE'!$N$36*'TUSD BF'!$N$58</f>
        <v>0</v>
      </c>
      <c r="O36" s="13">
        <f>'TUSD BE'!$O$36*'TUSD BF'!$O$58</f>
        <v>0</v>
      </c>
      <c r="P36" s="13">
        <f>'TUSD BE'!$P$36*'TUSD BF'!$P$58</f>
        <v>0</v>
      </c>
      <c r="Q36" s="13">
        <f>'TUSD BE'!$Q$36*'TUSD BF'!$Q$58</f>
        <v>0</v>
      </c>
      <c r="R36" s="13">
        <f>'TUSD BE'!$R$36*'TUSD BF'!$R$58</f>
        <v>0</v>
      </c>
      <c r="S36" s="13">
        <f>'TUSD BE'!$R$36*'TUSD BF'!$S$58</f>
        <v>0</v>
      </c>
      <c r="T36" s="13">
        <f ca="1">SUM($L$36:$S$36)</f>
        <v>0</v>
      </c>
      <c r="U36" s="13">
        <f>'TUSD BE'!$U$36*'TUSD BF'!$U$58</f>
        <v>0</v>
      </c>
      <c r="V36" s="13">
        <f>'TUSD BE'!$V$36*'TUSD BF'!$V$58</f>
        <v>0</v>
      </c>
      <c r="W36" s="13">
        <f>'TUSD BE'!$W$36*'TUSD BF'!$W$58</f>
        <v>0</v>
      </c>
      <c r="X36" s="13">
        <f>'TUSD BE'!$X$36*'TUSD BF'!$X$58</f>
        <v>0</v>
      </c>
      <c r="Y36" s="13">
        <f>'TUSD BE'!$Y$36*'TUSD BF'!$Y$58</f>
        <v>0</v>
      </c>
      <c r="Z36" s="13">
        <f>'TUSD BE'!$Z$36*'TUSD BF'!$Z$58</f>
        <v>0</v>
      </c>
      <c r="AA36" s="13">
        <f>'TUSD BE'!$AA$36*'TUSD BF'!$AA$58</f>
        <v>0</v>
      </c>
      <c r="AB36" s="13">
        <f>SUM($U$36:$AA$36)</f>
        <v>0</v>
      </c>
      <c r="AC36" s="13">
        <f>'TUSD BE'!$AC$36*'TUSD BF'!$AC$58</f>
        <v>0</v>
      </c>
      <c r="AD36" s="13">
        <f>SUM($AC$36:$AC$36)</f>
        <v>0</v>
      </c>
      <c r="AE36" s="13">
        <f ca="1">$AO$36*$AO$55</f>
        <v>0</v>
      </c>
      <c r="AF36" s="13">
        <f ca="1">$AP$36*$AP$55</f>
        <v>0</v>
      </c>
      <c r="AG36" s="13">
        <f ca="1">SUM($AE$36:$AF$36)</f>
        <v>0</v>
      </c>
      <c r="AH36" s="13">
        <f>'TUSD BE'!$AH$36*'TUSD BF'!$AH$58</f>
        <v>0</v>
      </c>
      <c r="AI36" s="13">
        <f>'TUSD BE'!$AI$36*'TUSD BF'!$AI$58</f>
        <v>0</v>
      </c>
      <c r="AJ36" s="13">
        <f ca="1">'TUSD BE'!$AJ$36*'TUSD BF'!$AJ$58</f>
        <v>0</v>
      </c>
      <c r="AK36" s="13">
        <f ca="1">'TUSD BE'!$AK$36*'TUSD BF'!$AK$58</f>
        <v>0</v>
      </c>
      <c r="AL36" s="13">
        <f ca="1">SUM($AH$36:$AK$36)</f>
        <v>0</v>
      </c>
      <c r="AM36" s="13">
        <f ca="1">SUMIF($L$4:$AL$4,"SUBTOTAL",$L$36:$AL$36)</f>
        <v>0</v>
      </c>
      <c r="AO36" s="26">
        <f ca="1">+'TUSD BE'!$T$36+'TUSD BE'!$AB$36+'TUSD BE'!$AD$36+'TUSD BE'!$AL$36</f>
        <v>539.2854855679243</v>
      </c>
      <c r="AP36" s="26">
        <f ca="1">+'TUSD BE'!$T$36+'TUSD BE'!$AB$36+'TUSD BE'!$AD$36+'TUSD BE'!$AL$36</f>
        <v>539.2854855679243</v>
      </c>
    </row>
    <row r="37" spans="1:42" ht="11.25" customHeight="1" x14ac:dyDescent="0.25">
      <c r="A37" s="103"/>
      <c r="B37" s="23" t="s">
        <v>23</v>
      </c>
      <c r="C37" s="23" t="s">
        <v>32</v>
      </c>
      <c r="D37" s="23" t="s">
        <v>79</v>
      </c>
      <c r="E37" s="23" t="s">
        <v>25</v>
      </c>
      <c r="F37" s="23" t="s">
        <v>25</v>
      </c>
      <c r="G37" s="24" t="s">
        <v>67</v>
      </c>
      <c r="H37" s="24" t="s">
        <v>60</v>
      </c>
      <c r="I37" s="24">
        <f>'MERCADO TUSD'!$U$34</f>
        <v>0</v>
      </c>
      <c r="J37" s="15"/>
      <c r="L37" s="13">
        <f>'TUSD BE'!$L$37*'TUSD BF'!$L$58</f>
        <v>0</v>
      </c>
      <c r="M37" s="13">
        <f>'TUSD BE'!$M$37*'TUSD BF'!$M$58</f>
        <v>0</v>
      </c>
      <c r="N37" s="13">
        <f ca="1">'TUSD BE'!$N$37*'TUSD BF'!$N$58</f>
        <v>0</v>
      </c>
      <c r="O37" s="13">
        <f>'TUSD BE'!$O$37*'TUSD BF'!$O$58</f>
        <v>0</v>
      </c>
      <c r="P37" s="13">
        <f>'TUSD BE'!$P$37*'TUSD BF'!$P$58</f>
        <v>0</v>
      </c>
      <c r="Q37" s="13">
        <f>'TUSD BE'!$Q$37*'TUSD BF'!$Q$58</f>
        <v>0</v>
      </c>
      <c r="R37" s="13">
        <f>'TUSD BE'!$R$37*'TUSD BF'!$R$58</f>
        <v>0</v>
      </c>
      <c r="S37" s="13">
        <f>'TUSD BE'!$R$37*'TUSD BF'!$S$58</f>
        <v>0</v>
      </c>
      <c r="T37" s="13">
        <f ca="1">SUM($L$37:$S$37)</f>
        <v>0</v>
      </c>
      <c r="U37" s="13">
        <f>'TUSD BE'!$U$37*'TUSD BF'!$U$58</f>
        <v>0</v>
      </c>
      <c r="V37" s="13">
        <f>'TUSD BE'!$V$37*'TUSD BF'!$V$58</f>
        <v>0</v>
      </c>
      <c r="W37" s="13">
        <f>'TUSD BE'!$W$37*'TUSD BF'!$W$58</f>
        <v>0</v>
      </c>
      <c r="X37" s="13">
        <f>'TUSD BE'!$X$37*'TUSD BF'!$X$58</f>
        <v>0</v>
      </c>
      <c r="Y37" s="13">
        <f>'TUSD BE'!$Y$37*'TUSD BF'!$Y$58</f>
        <v>0</v>
      </c>
      <c r="Z37" s="13">
        <f>'TUSD BE'!$Z$37*'TUSD BF'!$Z$58</f>
        <v>0</v>
      </c>
      <c r="AA37" s="13">
        <f>'TUSD BE'!$AA$37*'TUSD BF'!$AA$58</f>
        <v>0</v>
      </c>
      <c r="AB37" s="13">
        <f>SUM($U$37:$AA$37)</f>
        <v>0</v>
      </c>
      <c r="AC37" s="13">
        <f>'TUSD BE'!$AC$37*'TUSD BF'!$AC$58</f>
        <v>0</v>
      </c>
      <c r="AD37" s="13">
        <f>SUM($AC$37:$AC$37)</f>
        <v>0</v>
      </c>
      <c r="AE37" s="13">
        <f ca="1">$AO$37*$AO$55</f>
        <v>0</v>
      </c>
      <c r="AF37" s="13">
        <f ca="1">$AP$37*$AP$55</f>
        <v>0</v>
      </c>
      <c r="AG37" s="13">
        <f ca="1">SUM($AE$37:$AF$37)</f>
        <v>0</v>
      </c>
      <c r="AH37" s="13">
        <f>'TUSD BE'!$AH$37*'TUSD BF'!$AH$58</f>
        <v>0</v>
      </c>
      <c r="AI37" s="13">
        <f>'TUSD BE'!$AI$37*'TUSD BF'!$AI$58</f>
        <v>0</v>
      </c>
      <c r="AJ37" s="13">
        <f ca="1">'TUSD BE'!$AJ$37*'TUSD BF'!$AJ$58</f>
        <v>0</v>
      </c>
      <c r="AK37" s="13">
        <f ca="1">'TUSD BE'!$AK$37*'TUSD BF'!$AK$58</f>
        <v>0</v>
      </c>
      <c r="AL37" s="13">
        <f ca="1">SUM($AH$37:$AK$37)</f>
        <v>0</v>
      </c>
      <c r="AM37" s="13">
        <f ca="1">SUMIF($L$4:$AL$4,"SUBTOTAL",$L$37:$AL$37)</f>
        <v>0</v>
      </c>
      <c r="AO37" s="26">
        <f ca="1">+'TUSD BE'!$T$37+'TUSD BE'!$AB$37+'TUSD BE'!$AD$37+'TUSD BE'!$AL$37</f>
        <v>808.80152935754006</v>
      </c>
      <c r="AP37" s="26">
        <f ca="1">+'TUSD BE'!$T$37+'TUSD BE'!$AB$37+'TUSD BE'!$AD$37+'TUSD BE'!$AL$37</f>
        <v>808.80152935754006</v>
      </c>
    </row>
    <row r="38" spans="1:42" ht="11.25" customHeight="1" x14ac:dyDescent="0.25">
      <c r="A38" s="103"/>
      <c r="B38" s="103" t="s">
        <v>76</v>
      </c>
      <c r="C38" s="103" t="s">
        <v>32</v>
      </c>
      <c r="D38" s="103" t="s">
        <v>80</v>
      </c>
      <c r="E38" s="103" t="s">
        <v>25</v>
      </c>
      <c r="F38" s="103" t="s">
        <v>25</v>
      </c>
      <c r="G38" s="24" t="s">
        <v>61</v>
      </c>
      <c r="H38" s="24" t="s">
        <v>60</v>
      </c>
      <c r="I38" s="24">
        <f>'MERCADO TUSD'!$U$35</f>
        <v>0</v>
      </c>
      <c r="J38" s="15"/>
      <c r="L38" s="13">
        <f>'TUSD BE'!$L$38*'TUSD BF'!$L$58</f>
        <v>0</v>
      </c>
      <c r="M38" s="13">
        <f>'TUSD BE'!$M$38*'TUSD BF'!$M$58</f>
        <v>0</v>
      </c>
      <c r="N38" s="13">
        <f ca="1">'TUSD BE'!$N$38*'TUSD BF'!$N$58</f>
        <v>0</v>
      </c>
      <c r="O38" s="13">
        <f>'TUSD BE'!$O$38*'TUSD BF'!$O$58</f>
        <v>0</v>
      </c>
      <c r="P38" s="13">
        <f>'TUSD BE'!$P$38*'TUSD BF'!$P$58</f>
        <v>0</v>
      </c>
      <c r="Q38" s="13">
        <f>'TUSD BE'!$Q$38*'TUSD BF'!$Q$58</f>
        <v>0</v>
      </c>
      <c r="R38" s="13">
        <f>'TUSD BE'!$R$38*'TUSD BF'!$R$58</f>
        <v>0</v>
      </c>
      <c r="S38" s="13">
        <f>'TUSD BE'!$R$38*'TUSD BF'!$S$58</f>
        <v>0</v>
      </c>
      <c r="T38" s="13">
        <f ca="1">SUM($L$38:$S$38)</f>
        <v>0</v>
      </c>
      <c r="U38" s="13">
        <f>'TUSD BE'!$U$38*'TUSD BF'!$U$58</f>
        <v>0</v>
      </c>
      <c r="V38" s="13">
        <f>'TUSD BE'!$V$38*'TUSD BF'!$V$58</f>
        <v>0</v>
      </c>
      <c r="W38" s="13">
        <f>'TUSD BE'!$W$38*'TUSD BF'!$W$58</f>
        <v>0</v>
      </c>
      <c r="X38" s="13">
        <f>'TUSD BE'!$X$38*'TUSD BF'!$X$58</f>
        <v>0</v>
      </c>
      <c r="Y38" s="13">
        <f>'TUSD BE'!$Y$38*'TUSD BF'!$Y$58</f>
        <v>0</v>
      </c>
      <c r="Z38" s="13">
        <f>'TUSD BE'!$Z$38*'TUSD BF'!$Z$58</f>
        <v>0</v>
      </c>
      <c r="AA38" s="13">
        <f>'TUSD BE'!$AA$38*'TUSD BF'!$AA$58</f>
        <v>0</v>
      </c>
      <c r="AB38" s="13">
        <f>SUM($U$38:$AA$38)</f>
        <v>0</v>
      </c>
      <c r="AC38" s="13">
        <f>'TUSD BE'!$AC$38*'TUSD BF'!$AC$58</f>
        <v>0</v>
      </c>
      <c r="AD38" s="13">
        <f>SUM($AC$38:$AC$38)</f>
        <v>0</v>
      </c>
      <c r="AE38" s="13">
        <f ca="1">$AO$38*$AO$55</f>
        <v>0</v>
      </c>
      <c r="AF38" s="13">
        <f ca="1">$AP$38*$AP$55</f>
        <v>0</v>
      </c>
      <c r="AG38" s="13">
        <f ca="1">SUM($AE$38:$AF$38)</f>
        <v>0</v>
      </c>
      <c r="AH38" s="13">
        <f>'TUSD BE'!$AH$38*'TUSD BF'!$AH$58</f>
        <v>0</v>
      </c>
      <c r="AI38" s="13">
        <f>'TUSD BE'!$AI$38*'TUSD BF'!$AI$58</f>
        <v>0</v>
      </c>
      <c r="AJ38" s="13">
        <f ca="1">'TUSD BE'!$AJ$38*'TUSD BF'!$AJ$58</f>
        <v>0</v>
      </c>
      <c r="AK38" s="13">
        <f ca="1">'TUSD BE'!$AK$38*'TUSD BF'!$AK$58</f>
        <v>0</v>
      </c>
      <c r="AL38" s="13">
        <f ca="1">SUM($AH$38:$AK$38)</f>
        <v>0</v>
      </c>
      <c r="AM38" s="13">
        <f ca="1">SUMIF($L$4:$AL$4,"SUBTOTAL",$L$38:$AL$38)</f>
        <v>0</v>
      </c>
      <c r="AO38" s="26">
        <f ca="1">+'TUSD BE'!$T$38+'TUSD BE'!$AB$38+'TUSD BE'!$AD$38+'TUSD BE'!$AL$38</f>
        <v>2090.3841339881624</v>
      </c>
      <c r="AP38" s="26">
        <f ca="1">+'TUSD BE'!$T$38+'TUSD BE'!$AB$38+'TUSD BE'!$AD$38+'TUSD BE'!$AL$38</f>
        <v>2090.3841339881624</v>
      </c>
    </row>
    <row r="39" spans="1:42" ht="11.25" customHeight="1" x14ac:dyDescent="0.25">
      <c r="A39" s="103"/>
      <c r="B39" s="103"/>
      <c r="C39" s="103"/>
      <c r="D39" s="103"/>
      <c r="E39" s="103"/>
      <c r="F39" s="103"/>
      <c r="G39" s="24" t="s">
        <v>74</v>
      </c>
      <c r="H39" s="24" t="s">
        <v>60</v>
      </c>
      <c r="I39" s="24">
        <f>'MERCADO TUSD'!$U$36</f>
        <v>0</v>
      </c>
      <c r="J39" s="15"/>
      <c r="L39" s="13">
        <f>'TUSD BE'!$L$39*'TUSD BF'!$L$58</f>
        <v>0</v>
      </c>
      <c r="M39" s="13">
        <f>'TUSD BE'!$M$39*'TUSD BF'!$M$58</f>
        <v>0</v>
      </c>
      <c r="N39" s="13">
        <f ca="1">'TUSD BE'!$N$39*'TUSD BF'!$N$58</f>
        <v>0</v>
      </c>
      <c r="O39" s="13">
        <f>'TUSD BE'!$O$39*'TUSD BF'!$O$58</f>
        <v>0</v>
      </c>
      <c r="P39" s="13">
        <f>'TUSD BE'!$P$39*'TUSD BF'!$P$58</f>
        <v>0</v>
      </c>
      <c r="Q39" s="13">
        <f>'TUSD BE'!$Q$39*'TUSD BF'!$Q$58</f>
        <v>0</v>
      </c>
      <c r="R39" s="13">
        <f>'TUSD BE'!$R$39*'TUSD BF'!$R$58</f>
        <v>0</v>
      </c>
      <c r="S39" s="13">
        <f>'TUSD BE'!$R$39*'TUSD BF'!$S$58</f>
        <v>0</v>
      </c>
      <c r="T39" s="13">
        <f ca="1">SUM($L$39:$S$39)</f>
        <v>0</v>
      </c>
      <c r="U39" s="13">
        <f>'TUSD BE'!$U$39*'TUSD BF'!$U$58</f>
        <v>0</v>
      </c>
      <c r="V39" s="13">
        <f>'TUSD BE'!$V$39*'TUSD BF'!$V$58</f>
        <v>0</v>
      </c>
      <c r="W39" s="13">
        <f>'TUSD BE'!$W$39*'TUSD BF'!$W$58</f>
        <v>0</v>
      </c>
      <c r="X39" s="13">
        <f>'TUSD BE'!$X$39*'TUSD BF'!$X$58</f>
        <v>0</v>
      </c>
      <c r="Y39" s="13">
        <f>'TUSD BE'!$Y$39*'TUSD BF'!$Y$58</f>
        <v>0</v>
      </c>
      <c r="Z39" s="13">
        <f>'TUSD BE'!$Z$39*'TUSD BF'!$Z$58</f>
        <v>0</v>
      </c>
      <c r="AA39" s="13">
        <f>'TUSD BE'!$AA$39*'TUSD BF'!$AA$58</f>
        <v>0</v>
      </c>
      <c r="AB39" s="13">
        <f>SUM($U$39:$AA$39)</f>
        <v>0</v>
      </c>
      <c r="AC39" s="13">
        <f>'TUSD BE'!$AC$39*'TUSD BF'!$AC$58</f>
        <v>0</v>
      </c>
      <c r="AD39" s="13">
        <f>SUM($AC$39:$AC$39)</f>
        <v>0</v>
      </c>
      <c r="AE39" s="13">
        <f ca="1">$AO$39*$AO$55</f>
        <v>0</v>
      </c>
      <c r="AF39" s="13">
        <f ca="1">$AP$39*$AP$55</f>
        <v>0</v>
      </c>
      <c r="AG39" s="13">
        <f ca="1">SUM($AE$39:$AF$39)</f>
        <v>0</v>
      </c>
      <c r="AH39" s="13">
        <f>'TUSD BE'!$AH$39*'TUSD BF'!$AH$58</f>
        <v>0</v>
      </c>
      <c r="AI39" s="13">
        <f>'TUSD BE'!$AI$39*'TUSD BF'!$AI$58</f>
        <v>0</v>
      </c>
      <c r="AJ39" s="13">
        <f ca="1">'TUSD BE'!$AJ$39*'TUSD BF'!$AJ$58</f>
        <v>0</v>
      </c>
      <c r="AK39" s="13">
        <f ca="1">'TUSD BE'!$AK$39*'TUSD BF'!$AK$58</f>
        <v>0</v>
      </c>
      <c r="AL39" s="13">
        <f ca="1">SUM($AH$39:$AK$39)</f>
        <v>0</v>
      </c>
      <c r="AM39" s="13">
        <f ca="1">SUMIF($L$4:$AL$4,"SUBTOTAL",$L$39:$AL$39)</f>
        <v>0</v>
      </c>
      <c r="AO39" s="26">
        <f ca="1">+'TUSD BE'!$T$39+'TUSD BE'!$AB$39+'TUSD BE'!$AD$39+'TUSD BE'!$AL$39</f>
        <v>1314.834588631162</v>
      </c>
      <c r="AP39" s="26">
        <f ca="1">+'TUSD BE'!$T$39+'TUSD BE'!$AB$39+'TUSD BE'!$AD$39+'TUSD BE'!$AL$39</f>
        <v>1314.834588631162</v>
      </c>
    </row>
    <row r="40" spans="1:42" ht="11.25" customHeight="1" x14ac:dyDescent="0.25">
      <c r="A40" s="103"/>
      <c r="B40" s="103"/>
      <c r="C40" s="103"/>
      <c r="D40" s="103"/>
      <c r="E40" s="103"/>
      <c r="F40" s="103"/>
      <c r="G40" s="24" t="s">
        <v>62</v>
      </c>
      <c r="H40" s="24" t="s">
        <v>60</v>
      </c>
      <c r="I40" s="24">
        <f>'MERCADO TUSD'!$U$37</f>
        <v>0</v>
      </c>
      <c r="J40" s="15"/>
      <c r="L40" s="13">
        <f>'TUSD BE'!$L$40*'TUSD BF'!$L$58</f>
        <v>0</v>
      </c>
      <c r="M40" s="13">
        <f>'TUSD BE'!$M$40*'TUSD BF'!$M$58</f>
        <v>0</v>
      </c>
      <c r="N40" s="13">
        <f ca="1">'TUSD BE'!$N$40*'TUSD BF'!$N$58</f>
        <v>0</v>
      </c>
      <c r="O40" s="13">
        <f>'TUSD BE'!$O$40*'TUSD BF'!$O$58</f>
        <v>0</v>
      </c>
      <c r="P40" s="13">
        <f>'TUSD BE'!$P$40*'TUSD BF'!$P$58</f>
        <v>0</v>
      </c>
      <c r="Q40" s="13">
        <f>'TUSD BE'!$Q$40*'TUSD BF'!$Q$58</f>
        <v>0</v>
      </c>
      <c r="R40" s="13">
        <f>'TUSD BE'!$R$40*'TUSD BF'!$R$58</f>
        <v>0</v>
      </c>
      <c r="S40" s="13">
        <f>'TUSD BE'!$R$40*'TUSD BF'!$S$58</f>
        <v>0</v>
      </c>
      <c r="T40" s="13">
        <f ca="1">SUM($L$40:$S$40)</f>
        <v>0</v>
      </c>
      <c r="U40" s="13">
        <f>'TUSD BE'!$U$40*'TUSD BF'!$U$58</f>
        <v>0</v>
      </c>
      <c r="V40" s="13">
        <f>'TUSD BE'!$V$40*'TUSD BF'!$V$58</f>
        <v>0</v>
      </c>
      <c r="W40" s="13">
        <f>'TUSD BE'!$W$40*'TUSD BF'!$W$58</f>
        <v>0</v>
      </c>
      <c r="X40" s="13">
        <f>'TUSD BE'!$X$40*'TUSD BF'!$X$58</f>
        <v>0</v>
      </c>
      <c r="Y40" s="13">
        <f>'TUSD BE'!$Y$40*'TUSD BF'!$Y$58</f>
        <v>0</v>
      </c>
      <c r="Z40" s="13">
        <f>'TUSD BE'!$Z$40*'TUSD BF'!$Z$58</f>
        <v>0</v>
      </c>
      <c r="AA40" s="13">
        <f>'TUSD BE'!$AA$40*'TUSD BF'!$AA$58</f>
        <v>0</v>
      </c>
      <c r="AB40" s="13">
        <f>SUM($U$40:$AA$40)</f>
        <v>0</v>
      </c>
      <c r="AC40" s="13">
        <f>'TUSD BE'!$AC$40*'TUSD BF'!$AC$58</f>
        <v>0</v>
      </c>
      <c r="AD40" s="13">
        <f>SUM($AC$40:$AC$40)</f>
        <v>0</v>
      </c>
      <c r="AE40" s="13">
        <f ca="1">$AO$40*$AO$55</f>
        <v>0</v>
      </c>
      <c r="AF40" s="13">
        <f ca="1">$AP$40*$AP$55</f>
        <v>0</v>
      </c>
      <c r="AG40" s="13">
        <f ca="1">SUM($AE$40:$AF$40)</f>
        <v>0</v>
      </c>
      <c r="AH40" s="13">
        <f>'TUSD BE'!$AH$40*'TUSD BF'!$AH$58</f>
        <v>0</v>
      </c>
      <c r="AI40" s="13">
        <f>'TUSD BE'!$AI$40*'TUSD BF'!$AI$58</f>
        <v>0</v>
      </c>
      <c r="AJ40" s="13">
        <f ca="1">'TUSD BE'!$AJ$40*'TUSD BF'!$AJ$58</f>
        <v>0</v>
      </c>
      <c r="AK40" s="13">
        <f ca="1">'TUSD BE'!$AK$40*'TUSD BF'!$AK$58</f>
        <v>0</v>
      </c>
      <c r="AL40" s="13">
        <f ca="1">SUM($AH$40:$AK$40)</f>
        <v>0</v>
      </c>
      <c r="AM40" s="13">
        <f ca="1">SUMIF($L$4:$AL$4,"SUBTOTAL",$L$40:$AL$40)</f>
        <v>0</v>
      </c>
      <c r="AO40" s="26">
        <f ca="1">+'TUSD BE'!$T$40+'TUSD BE'!$AB$40+'TUSD BE'!$AD$40+'TUSD BE'!$AL$40</f>
        <v>539.2854855679243</v>
      </c>
      <c r="AP40" s="26">
        <f ca="1">+'TUSD BE'!$T$40+'TUSD BE'!$AB$40+'TUSD BE'!$AD$40+'TUSD BE'!$AL$40</f>
        <v>539.2854855679243</v>
      </c>
    </row>
    <row r="41" spans="1:42" ht="11.25" customHeight="1" x14ac:dyDescent="0.25">
      <c r="A41" s="103"/>
      <c r="B41" s="23" t="s">
        <v>23</v>
      </c>
      <c r="C41" s="23" t="s">
        <v>32</v>
      </c>
      <c r="D41" s="23" t="s">
        <v>80</v>
      </c>
      <c r="E41" s="23" t="s">
        <v>25</v>
      </c>
      <c r="F41" s="23" t="s">
        <v>25</v>
      </c>
      <c r="G41" s="24" t="s">
        <v>67</v>
      </c>
      <c r="H41" s="24" t="s">
        <v>60</v>
      </c>
      <c r="I41" s="24">
        <f>'MERCADO TUSD'!$U$38</f>
        <v>0</v>
      </c>
      <c r="J41" s="15"/>
      <c r="L41" s="13">
        <f>'TUSD BE'!$L$41*'TUSD BF'!$L$58</f>
        <v>0</v>
      </c>
      <c r="M41" s="13">
        <f>'TUSD BE'!$M$41*'TUSD BF'!$M$58</f>
        <v>0</v>
      </c>
      <c r="N41" s="13">
        <f ca="1">'TUSD BE'!$N$41*'TUSD BF'!$N$58</f>
        <v>0</v>
      </c>
      <c r="O41" s="13">
        <f>'TUSD BE'!$O$41*'TUSD BF'!$O$58</f>
        <v>0</v>
      </c>
      <c r="P41" s="13">
        <f>'TUSD BE'!$P$41*'TUSD BF'!$P$58</f>
        <v>0</v>
      </c>
      <c r="Q41" s="13">
        <f>'TUSD BE'!$Q$41*'TUSD BF'!$Q$58</f>
        <v>0</v>
      </c>
      <c r="R41" s="13">
        <f>'TUSD BE'!$R$41*'TUSD BF'!$R$58</f>
        <v>0</v>
      </c>
      <c r="S41" s="13">
        <f>'TUSD BE'!$R$41*'TUSD BF'!$S$58</f>
        <v>0</v>
      </c>
      <c r="T41" s="13">
        <f ca="1">SUM($L$41:$S$41)</f>
        <v>0</v>
      </c>
      <c r="U41" s="13">
        <f>'TUSD BE'!$U$41*'TUSD BF'!$U$58</f>
        <v>0</v>
      </c>
      <c r="V41" s="13">
        <f>'TUSD BE'!$V$41*'TUSD BF'!$V$58</f>
        <v>0</v>
      </c>
      <c r="W41" s="13">
        <f>'TUSD BE'!$W$41*'TUSD BF'!$W$58</f>
        <v>0</v>
      </c>
      <c r="X41" s="13">
        <f>'TUSD BE'!$X$41*'TUSD BF'!$X$58</f>
        <v>0</v>
      </c>
      <c r="Y41" s="13">
        <f>'TUSD BE'!$Y$41*'TUSD BF'!$Y$58</f>
        <v>0</v>
      </c>
      <c r="Z41" s="13">
        <f>'TUSD BE'!$Z$41*'TUSD BF'!$Z$58</f>
        <v>0</v>
      </c>
      <c r="AA41" s="13">
        <f>'TUSD BE'!$AA$41*'TUSD BF'!$AA$58</f>
        <v>0</v>
      </c>
      <c r="AB41" s="13">
        <f>SUM($U$41:$AA$41)</f>
        <v>0</v>
      </c>
      <c r="AC41" s="13">
        <f>'TUSD BE'!$AC$41*'TUSD BF'!$AC$58</f>
        <v>0</v>
      </c>
      <c r="AD41" s="13">
        <f>SUM($AC$41:$AC$41)</f>
        <v>0</v>
      </c>
      <c r="AE41" s="13">
        <f ca="1">$AO$41*$AO$55</f>
        <v>0</v>
      </c>
      <c r="AF41" s="13">
        <f ca="1">$AP$41*$AP$55</f>
        <v>0</v>
      </c>
      <c r="AG41" s="13">
        <f ca="1">SUM($AE$41:$AF$41)</f>
        <v>0</v>
      </c>
      <c r="AH41" s="13">
        <f>'TUSD BE'!$AH$41*'TUSD BF'!$AH$58</f>
        <v>0</v>
      </c>
      <c r="AI41" s="13">
        <f>'TUSD BE'!$AI$41*'TUSD BF'!$AI$58</f>
        <v>0</v>
      </c>
      <c r="AJ41" s="13">
        <f ca="1">'TUSD BE'!$AJ$41*'TUSD BF'!$AJ$58</f>
        <v>0</v>
      </c>
      <c r="AK41" s="13">
        <f ca="1">'TUSD BE'!$AK$41*'TUSD BF'!$AK$58</f>
        <v>0</v>
      </c>
      <c r="AL41" s="13">
        <f ca="1">SUM($AH$41:$AK$41)</f>
        <v>0</v>
      </c>
      <c r="AM41" s="13">
        <f ca="1">SUMIF($L$4:$AL$4,"SUBTOTAL",$L$41:$AL$41)</f>
        <v>0</v>
      </c>
      <c r="AO41" s="26">
        <f ca="1">+'TUSD BE'!$T$41+'TUSD BE'!$AB$41+'TUSD BE'!$AD$41+'TUSD BE'!$AL$41</f>
        <v>808.80152935754006</v>
      </c>
      <c r="AP41" s="26">
        <f ca="1">+'TUSD BE'!$T$41+'TUSD BE'!$AB$41+'TUSD BE'!$AD$41+'TUSD BE'!$AL$41</f>
        <v>808.80152935754006</v>
      </c>
    </row>
    <row r="42" spans="1:42" ht="11.25" customHeight="1" x14ac:dyDescent="0.25">
      <c r="A42" s="103"/>
      <c r="B42" s="103" t="s">
        <v>78</v>
      </c>
      <c r="C42" s="103" t="s">
        <v>32</v>
      </c>
      <c r="D42" s="23" t="s">
        <v>25</v>
      </c>
      <c r="E42" s="23" t="s">
        <v>25</v>
      </c>
      <c r="F42" s="23" t="s">
        <v>25</v>
      </c>
      <c r="G42" s="24" t="s">
        <v>67</v>
      </c>
      <c r="H42" s="24" t="s">
        <v>60</v>
      </c>
      <c r="I42" s="24">
        <f>'MERCADO TUSD'!$U$39</f>
        <v>0</v>
      </c>
      <c r="J42" s="15"/>
      <c r="L42" s="13">
        <f>'TUSD BE'!$L$42*'TUSD BF'!$L$58</f>
        <v>0</v>
      </c>
      <c r="M42" s="13">
        <f>'TUSD BE'!$M$42*'TUSD BF'!$M$58</f>
        <v>0</v>
      </c>
      <c r="N42" s="13">
        <f ca="1">'TUSD BE'!$N$42*'TUSD BF'!$N$58</f>
        <v>0</v>
      </c>
      <c r="O42" s="13">
        <f>'TUSD BE'!$O$42*'TUSD BF'!$O$58</f>
        <v>0</v>
      </c>
      <c r="P42" s="13">
        <f>'TUSD BE'!$P$42*'TUSD BF'!$P$58</f>
        <v>0</v>
      </c>
      <c r="Q42" s="13">
        <f>'TUSD BE'!$Q$42*'TUSD BF'!$Q$58</f>
        <v>0</v>
      </c>
      <c r="R42" s="13">
        <f>'TUSD BE'!$R$42*'TUSD BF'!$R$58</f>
        <v>0</v>
      </c>
      <c r="S42" s="13">
        <f>'TUSD BE'!$R$42*'TUSD BF'!$S$58</f>
        <v>0</v>
      </c>
      <c r="T42" s="13">
        <f ca="1">SUM($L$42:$S$42)</f>
        <v>0</v>
      </c>
      <c r="U42" s="13">
        <f>'TUSD BE'!$U$42*'TUSD BF'!$U$58</f>
        <v>0</v>
      </c>
      <c r="V42" s="13">
        <f>'TUSD BE'!$V$42*'TUSD BF'!$V$58</f>
        <v>0</v>
      </c>
      <c r="W42" s="13">
        <f>'TUSD BE'!$W$42*'TUSD BF'!$W$58</f>
        <v>0</v>
      </c>
      <c r="X42" s="13">
        <f>'TUSD BE'!$X$42*'TUSD BF'!$X$58</f>
        <v>0</v>
      </c>
      <c r="Y42" s="13">
        <f>'TUSD BE'!$Y$42*'TUSD BF'!$Y$58</f>
        <v>0</v>
      </c>
      <c r="Z42" s="13">
        <f>'TUSD BE'!$Z$42*'TUSD BF'!$Z$58</f>
        <v>0</v>
      </c>
      <c r="AA42" s="13">
        <f>'TUSD BE'!$AA$42*'TUSD BF'!$AA$58</f>
        <v>0</v>
      </c>
      <c r="AB42" s="13">
        <f>SUM($U$42:$AA$42)</f>
        <v>0</v>
      </c>
      <c r="AC42" s="13">
        <f>'TUSD BE'!$AC$42*'TUSD BF'!$AC$58</f>
        <v>0</v>
      </c>
      <c r="AD42" s="13">
        <f>SUM($AC$42:$AC$42)</f>
        <v>0</v>
      </c>
      <c r="AE42" s="13">
        <f ca="1">$AO$42*$AO$55</f>
        <v>0</v>
      </c>
      <c r="AF42" s="13">
        <f ca="1">$AP$42*$AP$55</f>
        <v>0</v>
      </c>
      <c r="AG42" s="13">
        <f ca="1">SUM($AE$42:$AF$42)</f>
        <v>0</v>
      </c>
      <c r="AH42" s="13">
        <f>'TUSD BE'!$AH$42*'TUSD BF'!$AH$58</f>
        <v>0</v>
      </c>
      <c r="AI42" s="13">
        <f>'TUSD BE'!$AI$42*'TUSD BF'!$AI$58</f>
        <v>0</v>
      </c>
      <c r="AJ42" s="13">
        <f ca="1">'TUSD BE'!$AJ$42*'TUSD BF'!$AJ$58</f>
        <v>0</v>
      </c>
      <c r="AK42" s="13">
        <f ca="1">'TUSD BE'!$AK$42*'TUSD BF'!$AK$58</f>
        <v>0</v>
      </c>
      <c r="AL42" s="13">
        <f ca="1">SUM($AH$42:$AK$42)</f>
        <v>0</v>
      </c>
      <c r="AM42" s="13">
        <f ca="1">SUMIF($L$4:$AL$4,"SUBTOTAL",$L$42:$AL$42)</f>
        <v>0</v>
      </c>
      <c r="AO42" s="26">
        <f ca="1">+'TUSD BE'!$T$42+'TUSD BE'!$AB$42+'TUSD BE'!$AD$42+'TUSD BE'!$AL$42</f>
        <v>808.80152935754006</v>
      </c>
      <c r="AP42" s="26">
        <f ca="1">+'TUSD BE'!$T$42+'TUSD BE'!$AB$42+'TUSD BE'!$AD$42+'TUSD BE'!$AL$42</f>
        <v>808.80152935754006</v>
      </c>
    </row>
    <row r="43" spans="1:42" ht="11.25" customHeight="1" x14ac:dyDescent="0.25">
      <c r="A43" s="103"/>
      <c r="B43" s="103"/>
      <c r="C43" s="103"/>
      <c r="D43" s="23" t="s">
        <v>79</v>
      </c>
      <c r="E43" s="23" t="s">
        <v>25</v>
      </c>
      <c r="F43" s="23" t="s">
        <v>25</v>
      </c>
      <c r="G43" s="24" t="s">
        <v>67</v>
      </c>
      <c r="H43" s="24" t="s">
        <v>60</v>
      </c>
      <c r="I43" s="24">
        <f>'MERCADO TUSD'!$U$40</f>
        <v>0</v>
      </c>
      <c r="J43" s="15"/>
      <c r="L43" s="13">
        <f>'TUSD BE'!$L$43*'TUSD BF'!$L$58</f>
        <v>0</v>
      </c>
      <c r="M43" s="13">
        <f>'TUSD BE'!$M$43*'TUSD BF'!$M$58</f>
        <v>0</v>
      </c>
      <c r="N43" s="13">
        <f ca="1">'TUSD BE'!$N$43*'TUSD BF'!$N$58</f>
        <v>0</v>
      </c>
      <c r="O43" s="13">
        <f>'TUSD BE'!$O$43*'TUSD BF'!$O$58</f>
        <v>0</v>
      </c>
      <c r="P43" s="13">
        <f>'TUSD BE'!$P$43*'TUSD BF'!$P$58</f>
        <v>0</v>
      </c>
      <c r="Q43" s="13">
        <f>'TUSD BE'!$Q$43*'TUSD BF'!$Q$58</f>
        <v>0</v>
      </c>
      <c r="R43" s="13">
        <f>'TUSD BE'!$R$43*'TUSD BF'!$R$58</f>
        <v>0</v>
      </c>
      <c r="S43" s="13">
        <f>'TUSD BE'!$R$43*'TUSD BF'!$S$58</f>
        <v>0</v>
      </c>
      <c r="T43" s="13">
        <f ca="1">SUM($L$43:$S$43)</f>
        <v>0</v>
      </c>
      <c r="U43" s="13">
        <f>'TUSD BE'!$U$43*'TUSD BF'!$U$58</f>
        <v>0</v>
      </c>
      <c r="V43" s="13">
        <f>'TUSD BE'!$V$43*'TUSD BF'!$V$58</f>
        <v>0</v>
      </c>
      <c r="W43" s="13">
        <f>'TUSD BE'!$W$43*'TUSD BF'!$W$58</f>
        <v>0</v>
      </c>
      <c r="X43" s="13">
        <f>'TUSD BE'!$X$43*'TUSD BF'!$X$58</f>
        <v>0</v>
      </c>
      <c r="Y43" s="13">
        <f>'TUSD BE'!$Y$43*'TUSD BF'!$Y$58</f>
        <v>0</v>
      </c>
      <c r="Z43" s="13">
        <f>'TUSD BE'!$Z$43*'TUSD BF'!$Z$58</f>
        <v>0</v>
      </c>
      <c r="AA43" s="13">
        <f>'TUSD BE'!$AA$43*'TUSD BF'!$AA$58</f>
        <v>0</v>
      </c>
      <c r="AB43" s="13">
        <f>SUM($U$43:$AA$43)</f>
        <v>0</v>
      </c>
      <c r="AC43" s="13">
        <f>'TUSD BE'!$AC$43*'TUSD BF'!$AC$58</f>
        <v>0</v>
      </c>
      <c r="AD43" s="13">
        <f>SUM($AC$43:$AC$43)</f>
        <v>0</v>
      </c>
      <c r="AE43" s="13">
        <f ca="1">$AO$43*$AO$55</f>
        <v>0</v>
      </c>
      <c r="AF43" s="13">
        <f ca="1">$AP$43*$AP$55</f>
        <v>0</v>
      </c>
      <c r="AG43" s="13">
        <f ca="1">SUM($AE$43:$AF$43)</f>
        <v>0</v>
      </c>
      <c r="AH43" s="13">
        <f>'TUSD BE'!$AH$43*'TUSD BF'!$AH$58</f>
        <v>0</v>
      </c>
      <c r="AI43" s="13">
        <f>'TUSD BE'!$AI$43*'TUSD BF'!$AI$58</f>
        <v>0</v>
      </c>
      <c r="AJ43" s="13">
        <f ca="1">'TUSD BE'!$AJ$43*'TUSD BF'!$AJ$58</f>
        <v>0</v>
      </c>
      <c r="AK43" s="13">
        <f ca="1">'TUSD BE'!$AK$43*'TUSD BF'!$AK$58</f>
        <v>0</v>
      </c>
      <c r="AL43" s="13">
        <f ca="1">SUM($AH$43:$AK$43)</f>
        <v>0</v>
      </c>
      <c r="AM43" s="13">
        <f ca="1">SUMIF($L$4:$AL$4,"SUBTOTAL",$L$43:$AL$43)</f>
        <v>0</v>
      </c>
      <c r="AO43" s="26">
        <f ca="1">+'TUSD BE'!$T$43+'TUSD BE'!$AB$43+'TUSD BE'!$AD$43+'TUSD BE'!$AL$43</f>
        <v>808.80152935754006</v>
      </c>
      <c r="AP43" s="26">
        <f ca="1">+'TUSD BE'!$T$43+'TUSD BE'!$AB$43+'TUSD BE'!$AD$43+'TUSD BE'!$AL$43</f>
        <v>808.80152935754006</v>
      </c>
    </row>
    <row r="44" spans="1:42" ht="11.25" customHeight="1" x14ac:dyDescent="0.25">
      <c r="A44" s="103"/>
      <c r="B44" s="103"/>
      <c r="C44" s="103"/>
      <c r="D44" s="23" t="s">
        <v>80</v>
      </c>
      <c r="E44" s="23" t="s">
        <v>25</v>
      </c>
      <c r="F44" s="23" t="s">
        <v>25</v>
      </c>
      <c r="G44" s="24" t="s">
        <v>67</v>
      </c>
      <c r="H44" s="24" t="s">
        <v>60</v>
      </c>
      <c r="I44" s="24">
        <f>'MERCADO TUSD'!$U$41</f>
        <v>0</v>
      </c>
      <c r="J44" s="15"/>
      <c r="L44" s="13">
        <f>'TUSD BE'!$L$44*'TUSD BF'!$L$58</f>
        <v>0</v>
      </c>
      <c r="M44" s="13">
        <f>'TUSD BE'!$M$44*'TUSD BF'!$M$58</f>
        <v>0</v>
      </c>
      <c r="N44" s="13">
        <f ca="1">'TUSD BE'!$N$44*'TUSD BF'!$N$58</f>
        <v>0</v>
      </c>
      <c r="O44" s="13">
        <f>'TUSD BE'!$O$44*'TUSD BF'!$O$58</f>
        <v>0</v>
      </c>
      <c r="P44" s="13">
        <f>'TUSD BE'!$P$44*'TUSD BF'!$P$58</f>
        <v>0</v>
      </c>
      <c r="Q44" s="13">
        <f>'TUSD BE'!$Q$44*'TUSD BF'!$Q$58</f>
        <v>0</v>
      </c>
      <c r="R44" s="13">
        <f>'TUSD BE'!$R$44*'TUSD BF'!$R$58</f>
        <v>0</v>
      </c>
      <c r="S44" s="13">
        <f>'TUSD BE'!$R$44*'TUSD BF'!$S$58</f>
        <v>0</v>
      </c>
      <c r="T44" s="13">
        <f ca="1">SUM($L$44:$S$44)</f>
        <v>0</v>
      </c>
      <c r="U44" s="13">
        <f>'TUSD BE'!$U$44*'TUSD BF'!$U$58</f>
        <v>0</v>
      </c>
      <c r="V44" s="13">
        <f>'TUSD BE'!$V$44*'TUSD BF'!$V$58</f>
        <v>0</v>
      </c>
      <c r="W44" s="13">
        <f>'TUSD BE'!$W$44*'TUSD BF'!$W$58</f>
        <v>0</v>
      </c>
      <c r="X44" s="13">
        <f>'TUSD BE'!$X$44*'TUSD BF'!$X$58</f>
        <v>0</v>
      </c>
      <c r="Y44" s="13">
        <f>'TUSD BE'!$Y$44*'TUSD BF'!$Y$58</f>
        <v>0</v>
      </c>
      <c r="Z44" s="13">
        <f>'TUSD BE'!$Z$44*'TUSD BF'!$Z$58</f>
        <v>0</v>
      </c>
      <c r="AA44" s="13">
        <f>'TUSD BE'!$AA$44*'TUSD BF'!$AA$58</f>
        <v>0</v>
      </c>
      <c r="AB44" s="13">
        <f>SUM($U$44:$AA$44)</f>
        <v>0</v>
      </c>
      <c r="AC44" s="13">
        <f>'TUSD BE'!$AC$44*'TUSD BF'!$AC$58</f>
        <v>0</v>
      </c>
      <c r="AD44" s="13">
        <f>SUM($AC$44:$AC$44)</f>
        <v>0</v>
      </c>
      <c r="AE44" s="13">
        <f ca="1">$AO$44*$AO$55</f>
        <v>0</v>
      </c>
      <c r="AF44" s="13">
        <f ca="1">$AP$44*$AP$55</f>
        <v>0</v>
      </c>
      <c r="AG44" s="13">
        <f ca="1">SUM($AE$44:$AF$44)</f>
        <v>0</v>
      </c>
      <c r="AH44" s="13">
        <f>'TUSD BE'!$AH$44*'TUSD BF'!$AH$58</f>
        <v>0</v>
      </c>
      <c r="AI44" s="13">
        <f>'TUSD BE'!$AI$44*'TUSD BF'!$AI$58</f>
        <v>0</v>
      </c>
      <c r="AJ44" s="13">
        <f ca="1">'TUSD BE'!$AJ$44*'TUSD BF'!$AJ$58</f>
        <v>0</v>
      </c>
      <c r="AK44" s="13">
        <f ca="1">'TUSD BE'!$AK$44*'TUSD BF'!$AK$58</f>
        <v>0</v>
      </c>
      <c r="AL44" s="13">
        <f ca="1">SUM($AH$44:$AK$44)</f>
        <v>0</v>
      </c>
      <c r="AM44" s="13">
        <f ca="1">SUMIF($L$4:$AL$4,"SUBTOTAL",$L$44:$AL$44)</f>
        <v>0</v>
      </c>
      <c r="AO44" s="26">
        <f ca="1">+'TUSD BE'!$T$44+'TUSD BE'!$AB$44+'TUSD BE'!$AD$44+'TUSD BE'!$AL$44</f>
        <v>808.80152935754006</v>
      </c>
      <c r="AP44" s="26">
        <f ca="1">+'TUSD BE'!$T$44+'TUSD BE'!$AB$44+'TUSD BE'!$AD$44+'TUSD BE'!$AL$44</f>
        <v>808.80152935754006</v>
      </c>
    </row>
    <row r="45" spans="1:42" ht="11.25" customHeight="1" x14ac:dyDescent="0.25">
      <c r="A45" s="103" t="s">
        <v>28</v>
      </c>
      <c r="B45" s="103" t="s">
        <v>76</v>
      </c>
      <c r="C45" s="103" t="s">
        <v>25</v>
      </c>
      <c r="D45" s="103" t="s">
        <v>25</v>
      </c>
      <c r="E45" s="103" t="s">
        <v>25</v>
      </c>
      <c r="F45" s="103" t="s">
        <v>25</v>
      </c>
      <c r="G45" s="24" t="s">
        <v>61</v>
      </c>
      <c r="H45" s="24" t="s">
        <v>60</v>
      </c>
      <c r="I45" s="24">
        <f>'MERCADO TUSD'!$U$42</f>
        <v>0</v>
      </c>
      <c r="J45" s="15"/>
      <c r="L45" s="13">
        <f>'TUSD BE'!$L$45*'TUSD BF'!$L$58</f>
        <v>0</v>
      </c>
      <c r="M45" s="13">
        <f>'TUSD BE'!$M$45*'TUSD BF'!$M$58</f>
        <v>0</v>
      </c>
      <c r="N45" s="13">
        <f ca="1">'TUSD BE'!$N$45*'TUSD BF'!$N$58</f>
        <v>0</v>
      </c>
      <c r="O45" s="13">
        <f>'TUSD BE'!$O$45*'TUSD BF'!$O$58</f>
        <v>0</v>
      </c>
      <c r="P45" s="13">
        <f>'TUSD BE'!$P$45*'TUSD BF'!$P$58</f>
        <v>0</v>
      </c>
      <c r="Q45" s="13">
        <f>'TUSD BE'!$Q$45*'TUSD BF'!$Q$58</f>
        <v>0</v>
      </c>
      <c r="R45" s="13">
        <f>'TUSD BE'!$R$45*'TUSD BF'!$R$58</f>
        <v>0</v>
      </c>
      <c r="S45" s="13">
        <f>'TUSD BE'!$R$45*'TUSD BF'!$S$58</f>
        <v>0</v>
      </c>
      <c r="T45" s="13">
        <f ca="1">SUM($L$45:$S$45)</f>
        <v>0</v>
      </c>
      <c r="U45" s="13">
        <f>'TUSD BE'!$U$45*'TUSD BF'!$U$58</f>
        <v>0</v>
      </c>
      <c r="V45" s="13">
        <f>'TUSD BE'!$V$45*'TUSD BF'!$V$58</f>
        <v>0</v>
      </c>
      <c r="W45" s="13">
        <f>'TUSD BE'!$W$45*'TUSD BF'!$W$58</f>
        <v>0</v>
      </c>
      <c r="X45" s="13">
        <f>'TUSD BE'!$X$45*'TUSD BF'!$X$58</f>
        <v>0</v>
      </c>
      <c r="Y45" s="13">
        <f>'TUSD BE'!$Y$45*'TUSD BF'!$Y$58</f>
        <v>0</v>
      </c>
      <c r="Z45" s="13">
        <f>'TUSD BE'!$Z$45*'TUSD BF'!$Z$58</f>
        <v>0</v>
      </c>
      <c r="AA45" s="13">
        <f>'TUSD BE'!$AA$45*'TUSD BF'!$AA$58</f>
        <v>0</v>
      </c>
      <c r="AB45" s="13">
        <f>SUM($U$45:$AA$45)</f>
        <v>0</v>
      </c>
      <c r="AC45" s="13">
        <f>'TUSD BE'!$AC$45*'TUSD BF'!$AC$58</f>
        <v>0</v>
      </c>
      <c r="AD45" s="13">
        <f>SUM($AC$45:$AC$45)</f>
        <v>0</v>
      </c>
      <c r="AE45" s="13">
        <f ca="1">$AO$45*$AO$55</f>
        <v>0</v>
      </c>
      <c r="AF45" s="13">
        <f ca="1">$AP$45*$AP$55</f>
        <v>0</v>
      </c>
      <c r="AG45" s="13">
        <f ca="1">SUM($AE$45:$AF$45)</f>
        <v>0</v>
      </c>
      <c r="AH45" s="13">
        <f>'TUSD BE'!$AH$45*'TUSD BF'!$AH$58</f>
        <v>0</v>
      </c>
      <c r="AI45" s="13">
        <f>'TUSD BE'!$AI$45*'TUSD BF'!$AI$58</f>
        <v>0</v>
      </c>
      <c r="AJ45" s="13">
        <f ca="1">'TUSD BE'!$AJ$45*'TUSD BF'!$AJ$58</f>
        <v>0</v>
      </c>
      <c r="AK45" s="13">
        <f ca="1">'TUSD BE'!$AK$45*'TUSD BF'!$AK$58</f>
        <v>0</v>
      </c>
      <c r="AL45" s="13">
        <f ca="1">SUM($AH$45:$AK$45)</f>
        <v>0</v>
      </c>
      <c r="AM45" s="13">
        <f ca="1">SUMIF($L$4:$AL$4,"SUBTOTAL",$L$45:$AL$45)</f>
        <v>0</v>
      </c>
      <c r="AO45" s="26">
        <f ca="1">+'TUSD BE'!$T$45+'TUSD BE'!$AB$45+'TUSD BE'!$AD$45+'TUSD BE'!$AL$45</f>
        <v>2419.1077933232259</v>
      </c>
      <c r="AP45" s="26">
        <f ca="1">+'TUSD BE'!$T$45+'TUSD BE'!$AB$45+'TUSD BE'!$AD$45+'TUSD BE'!$AL$45</f>
        <v>2419.1077933232259</v>
      </c>
    </row>
    <row r="46" spans="1:42" ht="11.25" customHeight="1" x14ac:dyDescent="0.25">
      <c r="A46" s="103"/>
      <c r="B46" s="103"/>
      <c r="C46" s="103"/>
      <c r="D46" s="103"/>
      <c r="E46" s="103"/>
      <c r="F46" s="103"/>
      <c r="G46" s="24" t="s">
        <v>74</v>
      </c>
      <c r="H46" s="24" t="s">
        <v>60</v>
      </c>
      <c r="I46" s="24">
        <f>'MERCADO TUSD'!$U$43</f>
        <v>0</v>
      </c>
      <c r="J46" s="15"/>
      <c r="L46" s="13">
        <f>'TUSD BE'!$L$46*'TUSD BF'!$L$58</f>
        <v>0</v>
      </c>
      <c r="M46" s="13">
        <f>'TUSD BE'!$M$46*'TUSD BF'!$M$58</f>
        <v>0</v>
      </c>
      <c r="N46" s="13">
        <f ca="1">'TUSD BE'!$N$46*'TUSD BF'!$N$58</f>
        <v>0</v>
      </c>
      <c r="O46" s="13">
        <f>'TUSD BE'!$O$46*'TUSD BF'!$O$58</f>
        <v>0</v>
      </c>
      <c r="P46" s="13">
        <f>'TUSD BE'!$P$46*'TUSD BF'!$P$58</f>
        <v>0</v>
      </c>
      <c r="Q46" s="13">
        <f>'TUSD BE'!$Q$46*'TUSD BF'!$Q$58</f>
        <v>0</v>
      </c>
      <c r="R46" s="13">
        <f>'TUSD BE'!$R$46*'TUSD BF'!$R$58</f>
        <v>0</v>
      </c>
      <c r="S46" s="13">
        <f>'TUSD BE'!$R$46*'TUSD BF'!$S$58</f>
        <v>0</v>
      </c>
      <c r="T46" s="13">
        <f ca="1">SUM($L$46:$S$46)</f>
        <v>0</v>
      </c>
      <c r="U46" s="13">
        <f>'TUSD BE'!$U$46*'TUSD BF'!$U$58</f>
        <v>0</v>
      </c>
      <c r="V46" s="13">
        <f>'TUSD BE'!$V$46*'TUSD BF'!$V$58</f>
        <v>0</v>
      </c>
      <c r="W46" s="13">
        <f>'TUSD BE'!$W$46*'TUSD BF'!$W$58</f>
        <v>0</v>
      </c>
      <c r="X46" s="13">
        <f>'TUSD BE'!$X$46*'TUSD BF'!$X$58</f>
        <v>0</v>
      </c>
      <c r="Y46" s="13">
        <f>'TUSD BE'!$Y$46*'TUSD BF'!$Y$58</f>
        <v>0</v>
      </c>
      <c r="Z46" s="13">
        <f>'TUSD BE'!$Z$46*'TUSD BF'!$Z$58</f>
        <v>0</v>
      </c>
      <c r="AA46" s="13">
        <f>'TUSD BE'!$AA$46*'TUSD BF'!$AA$58</f>
        <v>0</v>
      </c>
      <c r="AB46" s="13">
        <f>SUM($U$46:$AA$46)</f>
        <v>0</v>
      </c>
      <c r="AC46" s="13">
        <f>'TUSD BE'!$AC$46*'TUSD BF'!$AC$58</f>
        <v>0</v>
      </c>
      <c r="AD46" s="13">
        <f>SUM($AC$46:$AC$46)</f>
        <v>0</v>
      </c>
      <c r="AE46" s="13">
        <f ca="1">$AO$46*$AO$55</f>
        <v>0</v>
      </c>
      <c r="AF46" s="13">
        <f ca="1">$AP$46*$AP$55</f>
        <v>0</v>
      </c>
      <c r="AG46" s="13">
        <f ca="1">SUM($AE$46:$AF$46)</f>
        <v>0</v>
      </c>
      <c r="AH46" s="13">
        <f>'TUSD BE'!$AH$46*'TUSD BF'!$AH$58</f>
        <v>0</v>
      </c>
      <c r="AI46" s="13">
        <f>'TUSD BE'!$AI$46*'TUSD BF'!$AI$58</f>
        <v>0</v>
      </c>
      <c r="AJ46" s="13">
        <f ca="1">'TUSD BE'!$AJ$46*'TUSD BF'!$AJ$58</f>
        <v>0</v>
      </c>
      <c r="AK46" s="13">
        <f ca="1">'TUSD BE'!$AK$46*'TUSD BF'!$AK$58</f>
        <v>0</v>
      </c>
      <c r="AL46" s="13">
        <f ca="1">SUM($AH$46:$AK$46)</f>
        <v>0</v>
      </c>
      <c r="AM46" s="13">
        <f ca="1">SUMIF($L$4:$AL$4,"SUBTOTAL",$L$46:$AL$46)</f>
        <v>0</v>
      </c>
      <c r="AO46" s="26">
        <f ca="1">+'TUSD BE'!$T$46+'TUSD BE'!$AB$46+'TUSD BE'!$AD$46+'TUSD BE'!$AL$46</f>
        <v>1512.037379929666</v>
      </c>
      <c r="AP46" s="26">
        <f ca="1">+'TUSD BE'!$T$46+'TUSD BE'!$AB$46+'TUSD BE'!$AD$46+'TUSD BE'!$AL$46</f>
        <v>1512.037379929666</v>
      </c>
    </row>
    <row r="47" spans="1:42" ht="11.25" customHeight="1" x14ac:dyDescent="0.25">
      <c r="A47" s="103"/>
      <c r="B47" s="103"/>
      <c r="C47" s="103"/>
      <c r="D47" s="103"/>
      <c r="E47" s="103"/>
      <c r="F47" s="103"/>
      <c r="G47" s="24" t="s">
        <v>62</v>
      </c>
      <c r="H47" s="24" t="s">
        <v>60</v>
      </c>
      <c r="I47" s="24">
        <f>'MERCADO TUSD'!$U$44</f>
        <v>0</v>
      </c>
      <c r="J47" s="15"/>
      <c r="L47" s="13">
        <f>'TUSD BE'!$L$47*'TUSD BF'!$L$58</f>
        <v>0</v>
      </c>
      <c r="M47" s="13">
        <f>'TUSD BE'!$M$47*'TUSD BF'!$M$58</f>
        <v>0</v>
      </c>
      <c r="N47" s="13">
        <f ca="1">'TUSD BE'!$N$47*'TUSD BF'!$N$58</f>
        <v>0</v>
      </c>
      <c r="O47" s="13">
        <f>'TUSD BE'!$O$47*'TUSD BF'!$O$58</f>
        <v>0</v>
      </c>
      <c r="P47" s="13">
        <f>'TUSD BE'!$P$47*'TUSD BF'!$P$58</f>
        <v>0</v>
      </c>
      <c r="Q47" s="13">
        <f>'TUSD BE'!$Q$47*'TUSD BF'!$Q$58</f>
        <v>0</v>
      </c>
      <c r="R47" s="13">
        <f>'TUSD BE'!$R$47*'TUSD BF'!$R$58</f>
        <v>0</v>
      </c>
      <c r="S47" s="13">
        <f>'TUSD BE'!$R$47*'TUSD BF'!$S$58</f>
        <v>0</v>
      </c>
      <c r="T47" s="13">
        <f ca="1">SUM($L$47:$S$47)</f>
        <v>0</v>
      </c>
      <c r="U47" s="13">
        <f>'TUSD BE'!$U$47*'TUSD BF'!$U$58</f>
        <v>0</v>
      </c>
      <c r="V47" s="13">
        <f>'TUSD BE'!$V$47*'TUSD BF'!$V$58</f>
        <v>0</v>
      </c>
      <c r="W47" s="13">
        <f>'TUSD BE'!$W$47*'TUSD BF'!$W$58</f>
        <v>0</v>
      </c>
      <c r="X47" s="13">
        <f>'TUSD BE'!$X$47*'TUSD BF'!$X$58</f>
        <v>0</v>
      </c>
      <c r="Y47" s="13">
        <f>'TUSD BE'!$Y$47*'TUSD BF'!$Y$58</f>
        <v>0</v>
      </c>
      <c r="Z47" s="13">
        <f>'TUSD BE'!$Z$47*'TUSD BF'!$Z$58</f>
        <v>0</v>
      </c>
      <c r="AA47" s="13">
        <f>'TUSD BE'!$AA$47*'TUSD BF'!$AA$58</f>
        <v>0</v>
      </c>
      <c r="AB47" s="13">
        <f>SUM($U$47:$AA$47)</f>
        <v>0</v>
      </c>
      <c r="AC47" s="13">
        <f>'TUSD BE'!$AC$47*'TUSD BF'!$AC$58</f>
        <v>0</v>
      </c>
      <c r="AD47" s="13">
        <f>SUM($AC$47:$AC$47)</f>
        <v>0</v>
      </c>
      <c r="AE47" s="13">
        <f ca="1">$AO$47*$AO$55</f>
        <v>0</v>
      </c>
      <c r="AF47" s="13">
        <f ca="1">$AP$47*$AP$55</f>
        <v>0</v>
      </c>
      <c r="AG47" s="13">
        <f ca="1">SUM($AE$47:$AF$47)</f>
        <v>0</v>
      </c>
      <c r="AH47" s="13">
        <f>'TUSD BE'!$AH$47*'TUSD BF'!$AH$58</f>
        <v>0</v>
      </c>
      <c r="AI47" s="13">
        <f>'TUSD BE'!$AI$47*'TUSD BF'!$AI$58</f>
        <v>0</v>
      </c>
      <c r="AJ47" s="13">
        <f ca="1">'TUSD BE'!$AJ$47*'TUSD BF'!$AJ$58</f>
        <v>0</v>
      </c>
      <c r="AK47" s="13">
        <f ca="1">'TUSD BE'!$AK$47*'TUSD BF'!$AK$58</f>
        <v>0</v>
      </c>
      <c r="AL47" s="13">
        <f ca="1">SUM($AH$47:$AK$47)</f>
        <v>0</v>
      </c>
      <c r="AM47" s="13">
        <f ca="1">SUMIF($L$4:$AL$4,"SUBTOTAL",$L$47:$AL$47)</f>
        <v>0</v>
      </c>
      <c r="AO47" s="26">
        <f ca="1">+'TUSD BE'!$T$47+'TUSD BE'!$AB$47+'TUSD BE'!$AD$47+'TUSD BE'!$AL$47</f>
        <v>605.04636422917463</v>
      </c>
      <c r="AP47" s="26">
        <f ca="1">+'TUSD BE'!$T$47+'TUSD BE'!$AB$47+'TUSD BE'!$AD$47+'TUSD BE'!$AL$47</f>
        <v>605.04636422917463</v>
      </c>
    </row>
    <row r="48" spans="1:42" ht="11.25" customHeight="1" x14ac:dyDescent="0.25">
      <c r="A48" s="10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67</v>
      </c>
      <c r="H48" s="24" t="s">
        <v>60</v>
      </c>
      <c r="I48" s="24">
        <f>'MERCADO TUSD'!$U$45</f>
        <v>3301.431</v>
      </c>
      <c r="J48" s="15"/>
      <c r="L48" s="13">
        <f>'TUSD BE'!$L$48*'TUSD BF'!$L$58</f>
        <v>0</v>
      </c>
      <c r="M48" s="13">
        <f>'TUSD BE'!$M$48*'TUSD BF'!$M$58</f>
        <v>0</v>
      </c>
      <c r="N48" s="13">
        <f ca="1">'TUSD BE'!$N$48*'TUSD BF'!$N$58</f>
        <v>0</v>
      </c>
      <c r="O48" s="13">
        <f>'TUSD BE'!$O$48*'TUSD BF'!$O$58</f>
        <v>0</v>
      </c>
      <c r="P48" s="13">
        <f>'TUSD BE'!$P$48*'TUSD BF'!$P$58</f>
        <v>0</v>
      </c>
      <c r="Q48" s="13">
        <f>'TUSD BE'!$Q$48*'TUSD BF'!$Q$58</f>
        <v>0</v>
      </c>
      <c r="R48" s="13">
        <f>'TUSD BE'!$R$48*'TUSD BF'!$R$58</f>
        <v>0</v>
      </c>
      <c r="S48" s="13">
        <f>'TUSD BE'!$R$48*'TUSD BF'!$S$58</f>
        <v>0</v>
      </c>
      <c r="T48" s="13">
        <f ca="1">SUM($L$48:$S$48)</f>
        <v>0</v>
      </c>
      <c r="U48" s="13">
        <f>'TUSD BE'!$U$48*'TUSD BF'!$U$58</f>
        <v>0</v>
      </c>
      <c r="V48" s="13">
        <f>'TUSD BE'!$V$48*'TUSD BF'!$V$58</f>
        <v>0</v>
      </c>
      <c r="W48" s="13">
        <f>'TUSD BE'!$W$48*'TUSD BF'!$W$58</f>
        <v>0</v>
      </c>
      <c r="X48" s="13">
        <f>'TUSD BE'!$X$48*'TUSD BF'!$X$58</f>
        <v>0</v>
      </c>
      <c r="Y48" s="13">
        <f>'TUSD BE'!$Y$48*'TUSD BF'!$Y$58</f>
        <v>0</v>
      </c>
      <c r="Z48" s="13">
        <f>'TUSD BE'!$Z$48*'TUSD BF'!$Z$58</f>
        <v>0</v>
      </c>
      <c r="AA48" s="13">
        <f>'TUSD BE'!$AA$48*'TUSD BF'!$AA$58</f>
        <v>0</v>
      </c>
      <c r="AB48" s="13">
        <f>SUM($U$48:$AA$48)</f>
        <v>0</v>
      </c>
      <c r="AC48" s="13">
        <f>'TUSD BE'!$AC$48*'TUSD BF'!$AC$58</f>
        <v>0</v>
      </c>
      <c r="AD48" s="13">
        <f>SUM($AC$48:$AC$48)</f>
        <v>0</v>
      </c>
      <c r="AE48" s="13">
        <f ca="1">$AO$48*$AO$55</f>
        <v>0</v>
      </c>
      <c r="AF48" s="13">
        <f ca="1">$AP$48*$AP$55</f>
        <v>0</v>
      </c>
      <c r="AG48" s="13">
        <f ca="1">SUM($AE$48:$AF$48)</f>
        <v>0</v>
      </c>
      <c r="AH48" s="13">
        <f>'TUSD BE'!$AH$48*'TUSD BF'!$AH$58</f>
        <v>0</v>
      </c>
      <c r="AI48" s="13">
        <f>'TUSD BE'!$AI$48*'TUSD BF'!$AI$58</f>
        <v>0</v>
      </c>
      <c r="AJ48" s="13">
        <f ca="1">'TUSD BE'!$AJ$48*'TUSD BF'!$AJ$58</f>
        <v>0</v>
      </c>
      <c r="AK48" s="13">
        <f ca="1">'TUSD BE'!$AK$48*'TUSD BF'!$AK$58</f>
        <v>0</v>
      </c>
      <c r="AL48" s="13">
        <f ca="1">SUM($AH$48:$AK$48)</f>
        <v>0</v>
      </c>
      <c r="AM48" s="13">
        <f ca="1">SUMIF($L$4:$AL$4,"SUBTOTAL",$L$48:$AL$48)</f>
        <v>0</v>
      </c>
      <c r="AO48" s="26">
        <f ca="1">+'TUSD BE'!$T$48+'TUSD BE'!$AB$48+'TUSD BE'!$AD$48+'TUSD BE'!$AL$48</f>
        <v>808.80152935754006</v>
      </c>
      <c r="AP48" s="26">
        <f ca="1">+'TUSD BE'!$T$48+'TUSD BE'!$AB$48+'TUSD BE'!$AD$48+'TUSD BE'!$AL$48</f>
        <v>808.80152935754006</v>
      </c>
    </row>
    <row r="49" spans="1:42" ht="11.25" customHeight="1" x14ac:dyDescent="0.25">
      <c r="A49" s="103"/>
      <c r="B49" s="23" t="s">
        <v>78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67</v>
      </c>
      <c r="H49" s="24" t="s">
        <v>60</v>
      </c>
      <c r="I49" s="24">
        <f>'MERCADO TUSD'!$U$46</f>
        <v>0</v>
      </c>
      <c r="J49" s="15"/>
      <c r="L49" s="13">
        <f>'TUSD BE'!$L$49*'TUSD BF'!$L$58</f>
        <v>0</v>
      </c>
      <c r="M49" s="13">
        <f>'TUSD BE'!$M$49*'TUSD BF'!$M$58</f>
        <v>0</v>
      </c>
      <c r="N49" s="13">
        <f ca="1">'TUSD BE'!$N$49*'TUSD BF'!$N$58</f>
        <v>0</v>
      </c>
      <c r="O49" s="13">
        <f>'TUSD BE'!$O$49*'TUSD BF'!$O$58</f>
        <v>0</v>
      </c>
      <c r="P49" s="13">
        <f>'TUSD BE'!$P$49*'TUSD BF'!$P$58</f>
        <v>0</v>
      </c>
      <c r="Q49" s="13">
        <f>'TUSD BE'!$Q$49*'TUSD BF'!$Q$58</f>
        <v>0</v>
      </c>
      <c r="R49" s="13">
        <f>'TUSD BE'!$R$49*'TUSD BF'!$R$58</f>
        <v>0</v>
      </c>
      <c r="S49" s="13">
        <f>'TUSD BE'!$R$49*'TUSD BF'!$S$58</f>
        <v>0</v>
      </c>
      <c r="T49" s="13">
        <f ca="1">SUM($L$49:$S$49)</f>
        <v>0</v>
      </c>
      <c r="U49" s="13">
        <f>'TUSD BE'!$U$49*'TUSD BF'!$U$58</f>
        <v>0</v>
      </c>
      <c r="V49" s="13">
        <f>'TUSD BE'!$V$49*'TUSD BF'!$V$58</f>
        <v>0</v>
      </c>
      <c r="W49" s="13">
        <f>'TUSD BE'!$W$49*'TUSD BF'!$W$58</f>
        <v>0</v>
      </c>
      <c r="X49" s="13">
        <f>'TUSD BE'!$X$49*'TUSD BF'!$X$58</f>
        <v>0</v>
      </c>
      <c r="Y49" s="13">
        <f>'TUSD BE'!$Y$49*'TUSD BF'!$Y$58</f>
        <v>0</v>
      </c>
      <c r="Z49" s="13">
        <f>'TUSD BE'!$Z$49*'TUSD BF'!$Z$58</f>
        <v>0</v>
      </c>
      <c r="AA49" s="13">
        <f>'TUSD BE'!$AA$49*'TUSD BF'!$AA$58</f>
        <v>0</v>
      </c>
      <c r="AB49" s="13">
        <f>SUM($U$49:$AA$49)</f>
        <v>0</v>
      </c>
      <c r="AC49" s="13">
        <f>'TUSD BE'!$AC$49*'TUSD BF'!$AC$58</f>
        <v>0</v>
      </c>
      <c r="AD49" s="13">
        <f>SUM($AC$49:$AC$49)</f>
        <v>0</v>
      </c>
      <c r="AE49" s="13">
        <f ca="1">$AO$49*$AO$55</f>
        <v>0</v>
      </c>
      <c r="AF49" s="13">
        <f ca="1">$AP$49*$AP$55</f>
        <v>0</v>
      </c>
      <c r="AG49" s="13">
        <f ca="1">SUM($AE$49:$AF$49)</f>
        <v>0</v>
      </c>
      <c r="AH49" s="13">
        <f>'TUSD BE'!$AH$49*'TUSD BF'!$AH$58</f>
        <v>0</v>
      </c>
      <c r="AI49" s="13">
        <f>'TUSD BE'!$AI$49*'TUSD BF'!$AI$58</f>
        <v>0</v>
      </c>
      <c r="AJ49" s="13">
        <f ca="1">'TUSD BE'!$AJ$49*'TUSD BF'!$AJ$58</f>
        <v>0</v>
      </c>
      <c r="AK49" s="13">
        <f ca="1">'TUSD BE'!$AK$49*'TUSD BF'!$AK$58</f>
        <v>0</v>
      </c>
      <c r="AL49" s="13">
        <f ca="1">SUM($AH$49:$AK$49)</f>
        <v>0</v>
      </c>
      <c r="AM49" s="13">
        <f ca="1">SUMIF($L$4:$AL$4,"SUBTOTAL",$L$49:$AL$49)</f>
        <v>0</v>
      </c>
      <c r="AO49" s="26">
        <f ca="1">+'TUSD BE'!$T$49+'TUSD BE'!$AB$49+'TUSD BE'!$AD$49+'TUSD BE'!$AL$49</f>
        <v>808.80152935754006</v>
      </c>
      <c r="AP49" s="26">
        <f ca="1">+'TUSD BE'!$T$49+'TUSD BE'!$AB$49+'TUSD BE'!$AD$49+'TUSD BE'!$AL$49</f>
        <v>808.80152935754006</v>
      </c>
    </row>
    <row r="50" spans="1:42" ht="11.25" customHeight="1" x14ac:dyDescent="0.25">
      <c r="A50" s="103" t="s">
        <v>34</v>
      </c>
      <c r="B50" s="103" t="s">
        <v>23</v>
      </c>
      <c r="C50" s="103" t="s">
        <v>35</v>
      </c>
      <c r="D50" s="23" t="s">
        <v>36</v>
      </c>
      <c r="E50" s="23" t="s">
        <v>25</v>
      </c>
      <c r="F50" s="23" t="s">
        <v>25</v>
      </c>
      <c r="G50" s="24" t="s">
        <v>67</v>
      </c>
      <c r="H50" s="24" t="s">
        <v>60</v>
      </c>
      <c r="I50" s="24">
        <f>'MERCADO TUSD'!$U$47</f>
        <v>274.32500000000005</v>
      </c>
      <c r="J50" s="15"/>
      <c r="L50" s="13">
        <f>'TUSD BE'!$L$50*'TUSD BF'!$L$58</f>
        <v>0</v>
      </c>
      <c r="M50" s="13">
        <f>'TUSD BE'!$M$50*'TUSD BF'!$M$58</f>
        <v>0</v>
      </c>
      <c r="N50" s="13">
        <f ca="1">'TUSD BE'!$N$50*'TUSD BF'!$N$58</f>
        <v>0</v>
      </c>
      <c r="O50" s="13">
        <f>'TUSD BE'!$O$50*'TUSD BF'!$O$58</f>
        <v>0</v>
      </c>
      <c r="P50" s="13">
        <f>'TUSD BE'!$P$50*'TUSD BF'!$P$58</f>
        <v>0</v>
      </c>
      <c r="Q50" s="13">
        <f>'TUSD BE'!$Q$50*'TUSD BF'!$Q$58</f>
        <v>0</v>
      </c>
      <c r="R50" s="13">
        <f>'TUSD BE'!$R$50*'TUSD BF'!$R$58</f>
        <v>0</v>
      </c>
      <c r="S50" s="13">
        <f>'TUSD BE'!$R$50*'TUSD BF'!$S$58</f>
        <v>0</v>
      </c>
      <c r="T50" s="13">
        <f ca="1">SUM($L$50:$S$50)</f>
        <v>0</v>
      </c>
      <c r="U50" s="13">
        <f>'TUSD BE'!$U$50*'TUSD BF'!$U$58</f>
        <v>0</v>
      </c>
      <c r="V50" s="13">
        <f>'TUSD BE'!$V$50*'TUSD BF'!$V$58</f>
        <v>0</v>
      </c>
      <c r="W50" s="13">
        <f>'TUSD BE'!$W$50*'TUSD BF'!$W$58</f>
        <v>0</v>
      </c>
      <c r="X50" s="13">
        <f>'TUSD BE'!$X$50*'TUSD BF'!$X$58</f>
        <v>0</v>
      </c>
      <c r="Y50" s="13">
        <f>'TUSD BE'!$Y$50*'TUSD BF'!$Y$58</f>
        <v>0</v>
      </c>
      <c r="Z50" s="13">
        <f>'TUSD BE'!$Z$50*'TUSD BF'!$Z$58</f>
        <v>0</v>
      </c>
      <c r="AA50" s="13">
        <f>'TUSD BE'!$AA$50*'TUSD BF'!$AA$58</f>
        <v>0</v>
      </c>
      <c r="AB50" s="13">
        <f>SUM($U$50:$AA$50)</f>
        <v>0</v>
      </c>
      <c r="AC50" s="13">
        <f>'TUSD BE'!$AC$50*'TUSD BF'!$AC$58</f>
        <v>0</v>
      </c>
      <c r="AD50" s="13">
        <f>SUM($AC$50:$AC$50)</f>
        <v>0</v>
      </c>
      <c r="AE50" s="13">
        <f ca="1">$AO$50*$AO$55</f>
        <v>0</v>
      </c>
      <c r="AF50" s="13">
        <f ca="1">$AP$50*$AP$55</f>
        <v>0</v>
      </c>
      <c r="AG50" s="13">
        <f ca="1">SUM($AE$50:$AF$50)</f>
        <v>0</v>
      </c>
      <c r="AH50" s="13">
        <f>'TUSD BE'!$AH$50*'TUSD BF'!$AH$58</f>
        <v>0</v>
      </c>
      <c r="AI50" s="13">
        <f>'TUSD BE'!$AI$50*'TUSD BF'!$AI$58</f>
        <v>0</v>
      </c>
      <c r="AJ50" s="13">
        <f ca="1">'TUSD BE'!$AJ$50*'TUSD BF'!$AJ$58</f>
        <v>0</v>
      </c>
      <c r="AK50" s="13">
        <f ca="1">'TUSD BE'!$AK$50*'TUSD BF'!$AK$58</f>
        <v>0</v>
      </c>
      <c r="AL50" s="13">
        <f ca="1">SUM($AH$50:$AK$50)</f>
        <v>0</v>
      </c>
      <c r="AM50" s="13">
        <f ca="1">SUMIF($L$4:$AL$4,"SUBTOTAL",$L$50:$AL$50)</f>
        <v>0</v>
      </c>
      <c r="AO50" s="26">
        <f ca="1">+'TUSD BE'!$T$50+'TUSD BE'!$AB$50+'TUSD BE'!$AD$50+'TUSD BE'!$AL$50</f>
        <v>444.84084114664711</v>
      </c>
      <c r="AP50" s="26">
        <f ca="1">+'TUSD BE'!$T$50+'TUSD BE'!$AB$50+'TUSD BE'!$AD$50+'TUSD BE'!$AL$50</f>
        <v>444.84084114664711</v>
      </c>
    </row>
    <row r="51" spans="1:42" ht="11.25" customHeight="1" x14ac:dyDescent="0.25">
      <c r="A51" s="103"/>
      <c r="B51" s="103"/>
      <c r="C51" s="103"/>
      <c r="D51" s="24" t="s">
        <v>81</v>
      </c>
      <c r="E51" s="24" t="s">
        <v>25</v>
      </c>
      <c r="F51" s="24" t="s">
        <v>25</v>
      </c>
      <c r="G51" s="24" t="s">
        <v>67</v>
      </c>
      <c r="H51" s="24" t="s">
        <v>60</v>
      </c>
      <c r="I51" s="24">
        <f>'MERCADO TUSD'!$U$48</f>
        <v>0</v>
      </c>
      <c r="J51" s="15"/>
      <c r="L51" s="13">
        <f>'TUSD BE'!$L$51*'TUSD BF'!$L$58</f>
        <v>0</v>
      </c>
      <c r="M51" s="13">
        <f>'TUSD BE'!$M$51*'TUSD BF'!$M$58</f>
        <v>0</v>
      </c>
      <c r="N51" s="13">
        <f ca="1">'TUSD BE'!$N$51*'TUSD BF'!$N$58</f>
        <v>0</v>
      </c>
      <c r="O51" s="13">
        <f>'TUSD BE'!$O$51*'TUSD BF'!$O$58</f>
        <v>0</v>
      </c>
      <c r="P51" s="13">
        <f>'TUSD BE'!$P$51*'TUSD BF'!$P$58</f>
        <v>0</v>
      </c>
      <c r="Q51" s="13">
        <f>'TUSD BE'!$Q$51*'TUSD BF'!$Q$58</f>
        <v>0</v>
      </c>
      <c r="R51" s="13">
        <f>'TUSD BE'!$R$51*'TUSD BF'!$R$58</f>
        <v>0</v>
      </c>
      <c r="S51" s="13">
        <f>'TUSD BE'!$R$51*'TUSD BF'!$S$58</f>
        <v>0</v>
      </c>
      <c r="T51" s="13">
        <f ca="1">SUM($L$51:$S$51)</f>
        <v>0</v>
      </c>
      <c r="U51" s="13">
        <f>'TUSD BE'!$U$51*'TUSD BF'!$U$58</f>
        <v>0</v>
      </c>
      <c r="V51" s="13">
        <f>'TUSD BE'!$V$51*'TUSD BF'!$V$58</f>
        <v>0</v>
      </c>
      <c r="W51" s="13">
        <f>'TUSD BE'!$W$51*'TUSD BF'!$W$58</f>
        <v>0</v>
      </c>
      <c r="X51" s="13">
        <f>'TUSD BE'!$X$51*'TUSD BF'!$X$58</f>
        <v>0</v>
      </c>
      <c r="Y51" s="13">
        <f>'TUSD BE'!$Y$51*'TUSD BF'!$Y$58</f>
        <v>0</v>
      </c>
      <c r="Z51" s="13">
        <f>'TUSD BE'!$Z$51*'TUSD BF'!$Z$58</f>
        <v>0</v>
      </c>
      <c r="AA51" s="13">
        <f>'TUSD BE'!$AA$51*'TUSD BF'!$AA$58</f>
        <v>0</v>
      </c>
      <c r="AB51" s="13">
        <f>SUM($U$51:$AA$51)</f>
        <v>0</v>
      </c>
      <c r="AC51" s="13">
        <f>'TUSD BE'!$AC$51*'TUSD BF'!$AC$58</f>
        <v>0</v>
      </c>
      <c r="AD51" s="13">
        <f>SUM($AC$51:$AC$51)</f>
        <v>0</v>
      </c>
      <c r="AE51" s="13">
        <f ca="1">$AO$51*$AO$55</f>
        <v>0</v>
      </c>
      <c r="AF51" s="13">
        <f ca="1">$AP$51*$AP$55</f>
        <v>0</v>
      </c>
      <c r="AG51" s="13">
        <f ca="1">SUM($AE$51:$AF$51)</f>
        <v>0</v>
      </c>
      <c r="AH51" s="13">
        <f>'TUSD BE'!$AH$51*'TUSD BF'!$AH$58</f>
        <v>0</v>
      </c>
      <c r="AI51" s="13">
        <f>'TUSD BE'!$AI$51*'TUSD BF'!$AI$58</f>
        <v>0</v>
      </c>
      <c r="AJ51" s="13">
        <f ca="1">'TUSD BE'!$AJ$51*'TUSD BF'!$AJ$58</f>
        <v>0</v>
      </c>
      <c r="AK51" s="13">
        <f ca="1">'TUSD BE'!$AK$51*'TUSD BF'!$AK$58</f>
        <v>0</v>
      </c>
      <c r="AL51" s="13">
        <f ca="1">SUM($AH$51:$AK$51)</f>
        <v>0</v>
      </c>
      <c r="AM51" s="13">
        <f ca="1">SUMIF($L$4:$AL$4,"SUBTOTAL",$L$51:$AL$51)</f>
        <v>0</v>
      </c>
      <c r="AO51" s="26">
        <f ca="1">+'TUSD BE'!$T$51+'TUSD BE'!$AB$51+'TUSD BE'!$AD$51+'TUSD BE'!$AL$51</f>
        <v>485.28091761452407</v>
      </c>
      <c r="AP51" s="26">
        <f ca="1">+'TUSD BE'!$T$51+'TUSD BE'!$AB$51+'TUSD BE'!$AD$51+'TUSD BE'!$AL$51</f>
        <v>485.28091761452407</v>
      </c>
    </row>
    <row r="53" spans="1:42" ht="11.25" customHeight="1" x14ac:dyDescent="0.25">
      <c r="K53" s="16" t="s">
        <v>374</v>
      </c>
      <c r="L53" s="13">
        <f>SUMPRODUCT($I$5:$I51,$L$5:$L51)</f>
        <v>0</v>
      </c>
      <c r="M53" s="13">
        <f>SUMPRODUCT($I$5:$I51,$M$5:$M51)</f>
        <v>0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0</v>
      </c>
      <c r="R53" s="13">
        <f>SUMPRODUCT($I$5:$I51,$R$5:$R51)</f>
        <v>0</v>
      </c>
      <c r="S53" s="13">
        <f>SUMPRODUCT($I$5:$I51,$S$5:$S51)</f>
        <v>0</v>
      </c>
      <c r="T53" s="13">
        <f ca="1">SUMPRODUCT($I$5:$I51,$T$5:$T51)</f>
        <v>0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0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0</v>
      </c>
      <c r="AC53" s="13">
        <f>SUMPRODUCT($I$5:$I51,$AC$5:$AC51)</f>
        <v>0</v>
      </c>
      <c r="AD53" s="13">
        <f>SUMPRODUCT($I$5:$I51,$AD$5:$AD51)</f>
        <v>0</v>
      </c>
      <c r="AE53" s="13">
        <f ca="1">SUMPRODUCT($I$5:$I51,$AE$5:$AE51)</f>
        <v>0</v>
      </c>
      <c r="AF53" s="13">
        <f ca="1">SUMPRODUCT($I$5:$I51,$AF$5:$AF51)</f>
        <v>0</v>
      </c>
      <c r="AG53" s="13">
        <f ca="1">SUMPRODUCT($I$5:$I51,$AG$5:$AG51)</f>
        <v>0</v>
      </c>
      <c r="AH53" s="13">
        <f>SUMPRODUCT($I$5:$I51,$AH$5:$AH51)</f>
        <v>0</v>
      </c>
      <c r="AI53" s="13">
        <f>SUMPRODUCT($I$5:$I51,$AI$5:$AI51)</f>
        <v>0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0</v>
      </c>
      <c r="AM53" s="13">
        <f ca="1">SUMPRODUCT($I$5:$I51,$AM$5:$AM51)</f>
        <v>0</v>
      </c>
      <c r="AO53" s="24">
        <f ca="1">SUMPRODUCT($I$5:$I51,$AO$5:$AO51)</f>
        <v>10697024.820799768</v>
      </c>
      <c r="AP53" s="24">
        <f ca="1">SUMPRODUCT($I$5:$I51,$AP$5:$AP51)</f>
        <v>10697024.820799768</v>
      </c>
    </row>
    <row r="54" spans="1:42" ht="11.25" customHeight="1" x14ac:dyDescent="0.25">
      <c r="K54" s="16" t="s">
        <v>305</v>
      </c>
      <c r="L54" s="13">
        <f>'TR TUSD'!$L$56</f>
        <v>415113.20676963858</v>
      </c>
      <c r="M54" s="13">
        <f>'TR TUSD'!$M$56</f>
        <v>30541.582569726626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1180373.81125</v>
      </c>
      <c r="R54" s="13">
        <f>'TR TUSD'!$R$56</f>
        <v>186666.83775000004</v>
      </c>
      <c r="S54" s="13">
        <f>'TR TUSD'!$S$56</f>
        <v>0</v>
      </c>
      <c r="T54" s="13">
        <f>'TR TUSD'!$T$56</f>
        <v>1812695.4383393652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2115567.6166000003</v>
      </c>
      <c r="Z54" s="13">
        <f>'TR TUSD'!$Z$56</f>
        <v>0</v>
      </c>
      <c r="AA54" s="13">
        <f>'TR TUSD'!$AA$56</f>
        <v>0</v>
      </c>
      <c r="AB54" s="13">
        <f>'TR TUSD'!$AB$56</f>
        <v>2115567.6166000003</v>
      </c>
      <c r="AC54" s="13">
        <f>'TR TUSD'!$AC$56</f>
        <v>6595000</v>
      </c>
      <c r="AD54" s="13">
        <f>'TR TUSD'!$AD$56</f>
        <v>6595000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173761.76586040409</v>
      </c>
      <c r="AI54" s="13">
        <f>'TR TUSD'!$AI$56</f>
        <v>0</v>
      </c>
      <c r="AJ54" s="13">
        <f>'TR TUSD'!$AJ$56</f>
        <v>0</v>
      </c>
      <c r="AK54" s="13">
        <f>'TR TUSD'!$AK$56</f>
        <v>0</v>
      </c>
      <c r="AL54" s="13">
        <f>'TR TUSD'!$AL$56</f>
        <v>173761.76586040409</v>
      </c>
      <c r="AM54" s="13">
        <f>CUSTOS!$D$29</f>
        <v>10697024.82079977</v>
      </c>
      <c r="AO54" s="24">
        <f>$AE$56</f>
        <v>0</v>
      </c>
      <c r="AP54" s="24">
        <f>$AF$56</f>
        <v>0</v>
      </c>
    </row>
    <row r="55" spans="1:42" ht="11.25" customHeight="1" x14ac:dyDescent="0.25">
      <c r="K55" s="16" t="s">
        <v>306</v>
      </c>
      <c r="L55" s="13">
        <f>CUSTOS!$E$2</f>
        <v>-9143.4708291486622</v>
      </c>
      <c r="M55" s="13">
        <f>CUSTOS!$E$3</f>
        <v>-874.8829567243414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-17173.440985587797</v>
      </c>
      <c r="R55" s="13">
        <f>CUSTOS!$E$8</f>
        <v>-2656.0980747707695</v>
      </c>
      <c r="S55" s="13">
        <f>CUSTOS!$E$9</f>
        <v>0</v>
      </c>
      <c r="T55" s="13">
        <f>CUSTOS!$E$10</f>
        <v>-29847.892846231571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-36992.214810574027</v>
      </c>
      <c r="Z55" s="13">
        <f>CUSTOS!$E$16</f>
        <v>0</v>
      </c>
      <c r="AA55" s="13">
        <f>CUSTOS!$E$17</f>
        <v>0</v>
      </c>
      <c r="AB55" s="13">
        <f>CUSTOS!$E$18</f>
        <v>-36992.214810574027</v>
      </c>
      <c r="AC55" s="13">
        <f>CUSTOS!$E$19</f>
        <v>-4201742.6235143151</v>
      </c>
      <c r="AD55" s="13">
        <f>CUSTOS!$E$20</f>
        <v>-4201742.6235143151</v>
      </c>
      <c r="AE55" s="13">
        <f>CUSTOS!$E$21</f>
        <v>0</v>
      </c>
      <c r="AF55" s="13">
        <f>CUSTOS!$E$22</f>
        <v>0</v>
      </c>
      <c r="AG55" s="13">
        <f>CUSTOS!$E$23</f>
        <v>0</v>
      </c>
      <c r="AH55" s="13">
        <f>CUSTOS!$E$24</f>
        <v>-8187.4636096936792</v>
      </c>
      <c r="AI55" s="13">
        <f>CUSTOS!$E$25</f>
        <v>0</v>
      </c>
      <c r="AJ55" s="13">
        <f>CUSTOS!$E$26</f>
        <v>0</v>
      </c>
      <c r="AK55" s="13">
        <f>CUSTOS!$E$27</f>
        <v>0</v>
      </c>
      <c r="AL55" s="13">
        <f>CUSTOS!$E$28</f>
        <v>-8187.4636096936792</v>
      </c>
      <c r="AM55" s="13">
        <f>CUSTOS!$E$29</f>
        <v>-4276770.1947808145</v>
      </c>
      <c r="AO55" s="24">
        <f ca="1">IF(AO53&lt;&gt;0,AO54/AO53,0)</f>
        <v>0</v>
      </c>
      <c r="AP55" s="24">
        <f ca="1">IF(AP53&lt;&gt;0,AP54/AP53,0)</f>
        <v>0</v>
      </c>
    </row>
    <row r="56" spans="1:42" ht="11.25" customHeight="1" x14ac:dyDescent="0.25">
      <c r="K56" s="16" t="s">
        <v>307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25">
      <c r="K57" s="16" t="s">
        <v>371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/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/>
      <c r="AC57" s="13">
        <v>0</v>
      </c>
      <c r="AD57" s="13"/>
      <c r="AE57" s="13">
        <v>0</v>
      </c>
      <c r="AF57" s="13">
        <v>0</v>
      </c>
      <c r="AG57" s="13"/>
      <c r="AH57" s="13">
        <v>0</v>
      </c>
      <c r="AI57" s="13">
        <v>0</v>
      </c>
      <c r="AJ57" s="13">
        <v>0</v>
      </c>
      <c r="AK57" s="13">
        <v>0</v>
      </c>
      <c r="AL57" s="13"/>
      <c r="AM57" s="13"/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conditionalFormatting sqref="L53">
    <cfRule type="cellIs" dxfId="610" priority="55" operator="notEqual">
      <formula>$L$56</formula>
    </cfRule>
    <cfRule type="cellIs" dxfId="609" priority="56" operator="equal">
      <formula>$L$56</formula>
    </cfRule>
  </conditionalFormatting>
  <conditionalFormatting sqref="M53">
    <cfRule type="cellIs" dxfId="608" priority="53" operator="notEqual">
      <formula>$M$56</formula>
    </cfRule>
    <cfRule type="cellIs" dxfId="607" priority="54" operator="equal">
      <formula>$M$56</formula>
    </cfRule>
  </conditionalFormatting>
  <conditionalFormatting sqref="N53">
    <cfRule type="cellIs" dxfId="606" priority="51" operator="notEqual">
      <formula>$N$56</formula>
    </cfRule>
    <cfRule type="cellIs" dxfId="605" priority="52" operator="equal">
      <formula>$N$56</formula>
    </cfRule>
  </conditionalFormatting>
  <conditionalFormatting sqref="O53">
    <cfRule type="cellIs" dxfId="604" priority="49" operator="notEqual">
      <formula>$O$56</formula>
    </cfRule>
    <cfRule type="cellIs" dxfId="603" priority="50" operator="equal">
      <formula>$O$56</formula>
    </cfRule>
  </conditionalFormatting>
  <conditionalFormatting sqref="P53">
    <cfRule type="cellIs" dxfId="602" priority="47" operator="notEqual">
      <formula>$P$56</formula>
    </cfRule>
    <cfRule type="cellIs" dxfId="601" priority="48" operator="equal">
      <formula>$P$56</formula>
    </cfRule>
  </conditionalFormatting>
  <conditionalFormatting sqref="Q53">
    <cfRule type="cellIs" dxfId="600" priority="45" operator="notEqual">
      <formula>$Q$56</formula>
    </cfRule>
    <cfRule type="cellIs" dxfId="599" priority="46" operator="equal">
      <formula>$Q$56</formula>
    </cfRule>
  </conditionalFormatting>
  <conditionalFormatting sqref="R53">
    <cfRule type="cellIs" dxfId="598" priority="43" operator="notEqual">
      <formula>$R$56</formula>
    </cfRule>
    <cfRule type="cellIs" dxfId="597" priority="44" operator="equal">
      <formula>$R$56</formula>
    </cfRule>
  </conditionalFormatting>
  <conditionalFormatting sqref="S53">
    <cfRule type="cellIs" dxfId="596" priority="41" operator="notEqual">
      <formula>$S$56</formula>
    </cfRule>
    <cfRule type="cellIs" dxfId="595" priority="42" operator="equal">
      <formula>$S$56</formula>
    </cfRule>
  </conditionalFormatting>
  <conditionalFormatting sqref="T53">
    <cfRule type="cellIs" dxfId="594" priority="39" operator="notEqual">
      <formula>$T$56</formula>
    </cfRule>
    <cfRule type="cellIs" dxfId="593" priority="40" operator="equal">
      <formula>$T$56</formula>
    </cfRule>
  </conditionalFormatting>
  <conditionalFormatting sqref="U53">
    <cfRule type="cellIs" dxfId="592" priority="37" operator="notEqual">
      <formula>$U$56</formula>
    </cfRule>
    <cfRule type="cellIs" dxfId="591" priority="38" operator="equal">
      <formula>$U$56</formula>
    </cfRule>
  </conditionalFormatting>
  <conditionalFormatting sqref="V53">
    <cfRule type="cellIs" dxfId="590" priority="35" operator="notEqual">
      <formula>$V$56</formula>
    </cfRule>
    <cfRule type="cellIs" dxfId="589" priority="36" operator="equal">
      <formula>$V$56</formula>
    </cfRule>
  </conditionalFormatting>
  <conditionalFormatting sqref="W53">
    <cfRule type="cellIs" dxfId="588" priority="33" operator="notEqual">
      <formula>$W$56</formula>
    </cfRule>
    <cfRule type="cellIs" dxfId="587" priority="34" operator="equal">
      <formula>$W$56</formula>
    </cfRule>
  </conditionalFormatting>
  <conditionalFormatting sqref="X53">
    <cfRule type="cellIs" dxfId="586" priority="31" operator="notEqual">
      <formula>$X$56</formula>
    </cfRule>
    <cfRule type="cellIs" dxfId="585" priority="32" operator="equal">
      <formula>$X$56</formula>
    </cfRule>
  </conditionalFormatting>
  <conditionalFormatting sqref="Y53">
    <cfRule type="cellIs" dxfId="584" priority="29" operator="notEqual">
      <formula>$Y$56</formula>
    </cfRule>
    <cfRule type="cellIs" dxfId="583" priority="30" operator="equal">
      <formula>$Y$56</formula>
    </cfRule>
  </conditionalFormatting>
  <conditionalFormatting sqref="Z53">
    <cfRule type="cellIs" dxfId="582" priority="27" operator="notEqual">
      <formula>$Z$56</formula>
    </cfRule>
    <cfRule type="cellIs" dxfId="581" priority="28" operator="equal">
      <formula>$Z$56</formula>
    </cfRule>
  </conditionalFormatting>
  <conditionalFormatting sqref="AA53">
    <cfRule type="cellIs" dxfId="580" priority="25" operator="notEqual">
      <formula>$AA$56</formula>
    </cfRule>
    <cfRule type="cellIs" dxfId="579" priority="26" operator="equal">
      <formula>$AA$56</formula>
    </cfRule>
  </conditionalFormatting>
  <conditionalFormatting sqref="AB53">
    <cfRule type="cellIs" dxfId="578" priority="23" operator="notEqual">
      <formula>$AB$56</formula>
    </cfRule>
    <cfRule type="cellIs" dxfId="577" priority="24" operator="equal">
      <formula>$AB$56</formula>
    </cfRule>
  </conditionalFormatting>
  <conditionalFormatting sqref="AC53">
    <cfRule type="cellIs" dxfId="576" priority="21" operator="notEqual">
      <formula>$AC$56</formula>
    </cfRule>
    <cfRule type="cellIs" dxfId="575" priority="22" operator="equal">
      <formula>$AC$56</formula>
    </cfRule>
  </conditionalFormatting>
  <conditionalFormatting sqref="AD53">
    <cfRule type="cellIs" dxfId="574" priority="19" operator="notEqual">
      <formula>$AD$56</formula>
    </cfRule>
    <cfRule type="cellIs" dxfId="573" priority="20" operator="equal">
      <formula>$AD$56</formula>
    </cfRule>
  </conditionalFormatting>
  <conditionalFormatting sqref="AE53">
    <cfRule type="cellIs" dxfId="572" priority="17" operator="notEqual">
      <formula>$AE$56</formula>
    </cfRule>
    <cfRule type="cellIs" dxfId="571" priority="18" operator="equal">
      <formula>$AE$56</formula>
    </cfRule>
  </conditionalFormatting>
  <conditionalFormatting sqref="AF53">
    <cfRule type="cellIs" dxfId="570" priority="16" operator="equal">
      <formula>$AF$56</formula>
    </cfRule>
  </conditionalFormatting>
  <conditionalFormatting sqref="AF53">
    <cfRule type="cellIs" dxfId="569" priority="15" operator="notEqual">
      <formula>$AF$56</formula>
    </cfRule>
  </conditionalFormatting>
  <conditionalFormatting sqref="AG53">
    <cfRule type="cellIs" dxfId="568" priority="14" operator="equal">
      <formula>$AG$56</formula>
    </cfRule>
  </conditionalFormatting>
  <conditionalFormatting sqref="AG53">
    <cfRule type="cellIs" dxfId="567" priority="13" operator="notEqual">
      <formula>$AG$56</formula>
    </cfRule>
  </conditionalFormatting>
  <conditionalFormatting sqref="AH53">
    <cfRule type="cellIs" dxfId="566" priority="12" operator="equal">
      <formula>$AH$56</formula>
    </cfRule>
  </conditionalFormatting>
  <conditionalFormatting sqref="AH53">
    <cfRule type="cellIs" dxfId="565" priority="11" operator="notEqual">
      <formula>$AH$56</formula>
    </cfRule>
  </conditionalFormatting>
  <conditionalFormatting sqref="AI53">
    <cfRule type="cellIs" dxfId="564" priority="10" operator="equal">
      <formula>$AI$56</formula>
    </cfRule>
  </conditionalFormatting>
  <conditionalFormatting sqref="AI53">
    <cfRule type="cellIs" dxfId="563" priority="9" operator="notEqual">
      <formula>$AI$56</formula>
    </cfRule>
  </conditionalFormatting>
  <conditionalFormatting sqref="AJ53">
    <cfRule type="cellIs" dxfId="562" priority="8" operator="equal">
      <formula>$AJ$56</formula>
    </cfRule>
  </conditionalFormatting>
  <conditionalFormatting sqref="AJ53">
    <cfRule type="cellIs" dxfId="561" priority="7" operator="notEqual">
      <formula>$AJ$56</formula>
    </cfRule>
  </conditionalFormatting>
  <conditionalFormatting sqref="AK53">
    <cfRule type="cellIs" dxfId="560" priority="6" operator="equal">
      <formula>$AK$56</formula>
    </cfRule>
  </conditionalFormatting>
  <conditionalFormatting sqref="AK53">
    <cfRule type="cellIs" dxfId="559" priority="5" operator="notEqual">
      <formula>$AK$56</formula>
    </cfRule>
  </conditionalFormatting>
  <conditionalFormatting sqref="AL53">
    <cfRule type="cellIs" dxfId="558" priority="4" operator="equal">
      <formula>$AL$56</formula>
    </cfRule>
  </conditionalFormatting>
  <conditionalFormatting sqref="AL53">
    <cfRule type="cellIs" dxfId="557" priority="3" operator="notEqual">
      <formula>$AL$56</formula>
    </cfRule>
  </conditionalFormatting>
  <conditionalFormatting sqref="AM53">
    <cfRule type="cellIs" dxfId="556" priority="2" operator="equal">
      <formula>$AM$56</formula>
    </cfRule>
  </conditionalFormatting>
  <conditionalFormatting sqref="AM53">
    <cfRule type="cellIs" dxfId="555" priority="1" operator="notEqual">
      <formula>$AM$56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FE7B-5095-4E74-A6BF-D42782B8FF34}">
  <sheetPr codeName="Planilha12"/>
  <dimension ref="A1:AB49"/>
  <sheetViews>
    <sheetView showGridLines="0" topLeftCell="A25" workbookViewId="0">
      <selection activeCell="K43" sqref="K43:AB49"/>
    </sheetView>
  </sheetViews>
  <sheetFormatPr defaultColWidth="9.140625"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113" t="s">
        <v>49</v>
      </c>
      <c r="B1" s="113" t="s">
        <v>50</v>
      </c>
      <c r="C1" s="113" t="s">
        <v>51</v>
      </c>
      <c r="D1" s="113" t="s">
        <v>52</v>
      </c>
      <c r="E1" s="113" t="s">
        <v>53</v>
      </c>
      <c r="F1" s="113" t="s">
        <v>15</v>
      </c>
      <c r="G1" s="113" t="s">
        <v>55</v>
      </c>
      <c r="H1" s="113" t="s">
        <v>56</v>
      </c>
      <c r="I1" s="113" t="s">
        <v>365</v>
      </c>
      <c r="J1" s="96"/>
      <c r="L1" s="111" t="s">
        <v>386</v>
      </c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</row>
    <row r="2" spans="1:28" ht="11.2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96"/>
      <c r="L2" s="111" t="s">
        <v>291</v>
      </c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1:28" ht="11.2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96"/>
      <c r="L3" s="111" t="s">
        <v>264</v>
      </c>
      <c r="M3" s="111"/>
      <c r="N3" s="111"/>
      <c r="O3" s="111"/>
      <c r="P3" s="111"/>
      <c r="Q3" s="111"/>
      <c r="R3" s="111" t="s">
        <v>295</v>
      </c>
      <c r="S3" s="111"/>
      <c r="T3" s="111" t="s">
        <v>273</v>
      </c>
      <c r="U3" s="111"/>
      <c r="V3" s="111"/>
      <c r="W3" s="111"/>
      <c r="X3" s="111" t="s">
        <v>283</v>
      </c>
      <c r="Y3" s="111"/>
      <c r="Z3" s="111" t="s">
        <v>286</v>
      </c>
      <c r="AA3" s="111"/>
      <c r="AB3" s="111" t="s">
        <v>272</v>
      </c>
    </row>
    <row r="4" spans="1:28" ht="11.2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96"/>
      <c r="L4" s="30" t="s">
        <v>266</v>
      </c>
      <c r="M4" s="30" t="s">
        <v>292</v>
      </c>
      <c r="N4" s="30" t="s">
        <v>293</v>
      </c>
      <c r="O4" s="30" t="s">
        <v>353</v>
      </c>
      <c r="P4" s="30" t="s">
        <v>294</v>
      </c>
      <c r="Q4" s="30" t="s">
        <v>272</v>
      </c>
      <c r="R4" s="30" t="s">
        <v>296</v>
      </c>
      <c r="S4" s="30" t="s">
        <v>272</v>
      </c>
      <c r="T4" s="30" t="s">
        <v>297</v>
      </c>
      <c r="U4" s="30" t="s">
        <v>298</v>
      </c>
      <c r="V4" s="30" t="s">
        <v>299</v>
      </c>
      <c r="W4" s="30" t="s">
        <v>272</v>
      </c>
      <c r="X4" s="30" t="s">
        <v>284</v>
      </c>
      <c r="Y4" s="30" t="s">
        <v>272</v>
      </c>
      <c r="Z4" s="30" t="s">
        <v>300</v>
      </c>
      <c r="AA4" s="30" t="s">
        <v>272</v>
      </c>
      <c r="AB4" s="112"/>
    </row>
    <row r="5" spans="1:28" ht="11.25" customHeight="1" x14ac:dyDescent="0.25">
      <c r="A5" s="114" t="s">
        <v>58</v>
      </c>
      <c r="B5" s="114" t="s">
        <v>59</v>
      </c>
      <c r="C5" s="114" t="s">
        <v>25</v>
      </c>
      <c r="D5" s="114" t="s">
        <v>25</v>
      </c>
      <c r="E5" s="114" t="s">
        <v>25</v>
      </c>
      <c r="F5" s="114" t="s">
        <v>25</v>
      </c>
      <c r="G5" s="29" t="s">
        <v>61</v>
      </c>
      <c r="H5" s="29" t="s">
        <v>60</v>
      </c>
      <c r="I5" s="29">
        <f>'MERCADO TE'!$U$2</f>
        <v>0</v>
      </c>
      <c r="J5" s="15"/>
      <c r="L5" s="26">
        <v>1</v>
      </c>
      <c r="M5" s="26">
        <v>1</v>
      </c>
      <c r="N5" s="26">
        <v>1</v>
      </c>
      <c r="O5" s="26">
        <v>1</v>
      </c>
      <c r="P5" s="26">
        <v>1</v>
      </c>
      <c r="Q5" s="26"/>
      <c r="R5" s="26">
        <v>1</v>
      </c>
      <c r="S5" s="26"/>
      <c r="T5" s="26">
        <v>1</v>
      </c>
      <c r="U5" s="26">
        <v>1</v>
      </c>
      <c r="V5" s="26">
        <v>1</v>
      </c>
      <c r="W5" s="26"/>
      <c r="X5" s="26"/>
      <c r="Y5" s="26"/>
      <c r="Z5" s="26">
        <v>1</v>
      </c>
      <c r="AA5" s="26"/>
      <c r="AB5" s="26"/>
    </row>
    <row r="6" spans="1:28" ht="11.25" customHeight="1" x14ac:dyDescent="0.25">
      <c r="A6" s="114"/>
      <c r="B6" s="114"/>
      <c r="C6" s="114"/>
      <c r="D6" s="114"/>
      <c r="E6" s="114"/>
      <c r="F6" s="114"/>
      <c r="G6" s="29" t="s">
        <v>62</v>
      </c>
      <c r="H6" s="29" t="s">
        <v>60</v>
      </c>
      <c r="I6" s="29">
        <f>'MERCADO TE'!$U$3</f>
        <v>0</v>
      </c>
      <c r="J6" s="15"/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6"/>
      <c r="R6" s="26">
        <v>1</v>
      </c>
      <c r="S6" s="26"/>
      <c r="T6" s="26">
        <v>1</v>
      </c>
      <c r="U6" s="26">
        <v>1</v>
      </c>
      <c r="V6" s="26">
        <v>1</v>
      </c>
      <c r="W6" s="26"/>
      <c r="X6" s="26"/>
      <c r="Y6" s="26"/>
      <c r="Z6" s="26">
        <v>1</v>
      </c>
      <c r="AA6" s="26"/>
      <c r="AB6" s="26"/>
    </row>
    <row r="7" spans="1:28" ht="11.25" customHeight="1" x14ac:dyDescent="0.25">
      <c r="A7" s="114" t="s">
        <v>22</v>
      </c>
      <c r="B7" s="114" t="s">
        <v>59</v>
      </c>
      <c r="C7" s="114" t="s">
        <v>24</v>
      </c>
      <c r="D7" s="114" t="s">
        <v>24</v>
      </c>
      <c r="E7" s="114" t="s">
        <v>25</v>
      </c>
      <c r="F7" s="114" t="s">
        <v>25</v>
      </c>
      <c r="G7" s="29" t="s">
        <v>61</v>
      </c>
      <c r="H7" s="29" t="s">
        <v>60</v>
      </c>
      <c r="I7" s="29">
        <f>'MERCADO TE'!$U$4</f>
        <v>0</v>
      </c>
      <c r="J7" s="15"/>
      <c r="L7" s="26">
        <v>1</v>
      </c>
      <c r="M7" s="26">
        <v>1</v>
      </c>
      <c r="N7" s="26">
        <v>1</v>
      </c>
      <c r="O7" s="26">
        <v>1</v>
      </c>
      <c r="P7" s="26">
        <v>1</v>
      </c>
      <c r="Q7" s="26"/>
      <c r="R7" s="26">
        <v>1</v>
      </c>
      <c r="S7" s="26"/>
      <c r="T7" s="26">
        <v>1</v>
      </c>
      <c r="U7" s="26">
        <v>1</v>
      </c>
      <c r="V7" s="26">
        <v>1</v>
      </c>
      <c r="W7" s="26"/>
      <c r="X7" s="26"/>
      <c r="Y7" s="26"/>
      <c r="Z7" s="26">
        <v>1</v>
      </c>
      <c r="AA7" s="26"/>
      <c r="AB7" s="26"/>
    </row>
    <row r="8" spans="1:28" ht="11.25" customHeight="1" x14ac:dyDescent="0.25">
      <c r="A8" s="114"/>
      <c r="B8" s="114"/>
      <c r="C8" s="114"/>
      <c r="D8" s="114"/>
      <c r="E8" s="114"/>
      <c r="F8" s="114"/>
      <c r="G8" s="29" t="s">
        <v>74</v>
      </c>
      <c r="H8" s="29" t="s">
        <v>60</v>
      </c>
      <c r="I8" s="29">
        <f>'MERCADO TE'!$U$5</f>
        <v>0</v>
      </c>
      <c r="J8" s="15"/>
      <c r="L8" s="26">
        <v>1</v>
      </c>
      <c r="M8" s="26">
        <v>1</v>
      </c>
      <c r="N8" s="26">
        <v>1</v>
      </c>
      <c r="O8" s="26">
        <v>1</v>
      </c>
      <c r="P8" s="26">
        <v>1</v>
      </c>
      <c r="Q8" s="26"/>
      <c r="R8" s="26">
        <v>1</v>
      </c>
      <c r="S8" s="26"/>
      <c r="T8" s="26">
        <v>1</v>
      </c>
      <c r="U8" s="26">
        <v>1</v>
      </c>
      <c r="V8" s="26">
        <v>1</v>
      </c>
      <c r="W8" s="26"/>
      <c r="X8" s="26"/>
      <c r="Y8" s="26"/>
      <c r="Z8" s="26">
        <v>1</v>
      </c>
      <c r="AA8" s="26"/>
      <c r="AB8" s="26"/>
    </row>
    <row r="9" spans="1:28" ht="11.25" customHeight="1" x14ac:dyDescent="0.25">
      <c r="A9" s="114"/>
      <c r="B9" s="114"/>
      <c r="C9" s="114"/>
      <c r="D9" s="114"/>
      <c r="E9" s="114"/>
      <c r="F9" s="114"/>
      <c r="G9" s="29" t="s">
        <v>62</v>
      </c>
      <c r="H9" s="29" t="s">
        <v>60</v>
      </c>
      <c r="I9" s="29">
        <f>'MERCADO TE'!$U$6</f>
        <v>0</v>
      </c>
      <c r="J9" s="15"/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/>
      <c r="R9" s="26">
        <v>1</v>
      </c>
      <c r="S9" s="26"/>
      <c r="T9" s="26">
        <v>1</v>
      </c>
      <c r="U9" s="26">
        <v>1</v>
      </c>
      <c r="V9" s="26">
        <v>1</v>
      </c>
      <c r="W9" s="26"/>
      <c r="X9" s="26"/>
      <c r="Y9" s="26"/>
      <c r="Z9" s="26">
        <v>1</v>
      </c>
      <c r="AA9" s="26"/>
      <c r="AB9" s="26"/>
    </row>
    <row r="10" spans="1:28" ht="11.25" customHeight="1" x14ac:dyDescent="0.25">
      <c r="A10" s="114"/>
      <c r="B10" s="114" t="s">
        <v>75</v>
      </c>
      <c r="C10" s="114" t="s">
        <v>24</v>
      </c>
      <c r="D10" s="28" t="s">
        <v>24</v>
      </c>
      <c r="E10" s="28" t="s">
        <v>25</v>
      </c>
      <c r="F10" s="28" t="s">
        <v>25</v>
      </c>
      <c r="G10" s="29" t="s">
        <v>67</v>
      </c>
      <c r="H10" s="29" t="s">
        <v>60</v>
      </c>
      <c r="I10" s="29">
        <f>'MERCADO TE'!$U$7</f>
        <v>3454.3520000000003</v>
      </c>
      <c r="J10" s="15"/>
      <c r="L10" s="26">
        <v>1</v>
      </c>
      <c r="M10" s="26">
        <v>1</v>
      </c>
      <c r="N10" s="26">
        <v>1</v>
      </c>
      <c r="O10" s="26">
        <v>1</v>
      </c>
      <c r="P10" s="26">
        <v>1</v>
      </c>
      <c r="Q10" s="26"/>
      <c r="R10" s="26">
        <v>1</v>
      </c>
      <c r="S10" s="26"/>
      <c r="T10" s="26">
        <v>1</v>
      </c>
      <c r="U10" s="26">
        <v>1</v>
      </c>
      <c r="V10" s="26">
        <v>1</v>
      </c>
      <c r="W10" s="26"/>
      <c r="X10" s="26"/>
      <c r="Y10" s="26"/>
      <c r="Z10" s="26">
        <v>1</v>
      </c>
      <c r="AA10" s="26"/>
      <c r="AB10" s="26"/>
    </row>
    <row r="11" spans="1:28" ht="11.25" customHeight="1" x14ac:dyDescent="0.25">
      <c r="A11" s="114"/>
      <c r="B11" s="114"/>
      <c r="C11" s="114"/>
      <c r="D11" s="28" t="s">
        <v>41</v>
      </c>
      <c r="E11" s="28" t="s">
        <v>25</v>
      </c>
      <c r="F11" s="28" t="s">
        <v>25</v>
      </c>
      <c r="G11" s="29" t="s">
        <v>67</v>
      </c>
      <c r="H11" s="29" t="s">
        <v>60</v>
      </c>
      <c r="I11" s="29">
        <f>'MERCADO TE'!$U$8</f>
        <v>0.48000000000000009</v>
      </c>
      <c r="J11" s="15"/>
      <c r="L11" s="26">
        <f>1 - CUSTOS!$M$24</f>
        <v>1</v>
      </c>
      <c r="M11" s="26">
        <f>1 - CUSTOS!$M$24</f>
        <v>1</v>
      </c>
      <c r="N11" s="26">
        <f>1 - CUSTOS!$M$24</f>
        <v>1</v>
      </c>
      <c r="O11" s="26">
        <f>1 - CUSTOS!$M$24</f>
        <v>1</v>
      </c>
      <c r="P11" s="26">
        <f>1 - CUSTOS!$M$24</f>
        <v>1</v>
      </c>
      <c r="Q11" s="26"/>
      <c r="R11" s="26">
        <f>(1 - CUSTOS!$M$24)*1</f>
        <v>1</v>
      </c>
      <c r="S11" s="26"/>
      <c r="T11" s="26">
        <f>1 - CUSTOS!$M$24</f>
        <v>1</v>
      </c>
      <c r="U11" s="26">
        <f>1 - CUSTOS!$M$24</f>
        <v>1</v>
      </c>
      <c r="V11" s="26">
        <f>1 - CUSTOS!$M$24</f>
        <v>1</v>
      </c>
      <c r="W11" s="26"/>
      <c r="X11" s="26"/>
      <c r="Y11" s="26"/>
      <c r="Z11" s="26">
        <f>1 - CUSTOS!$M$24</f>
        <v>1</v>
      </c>
      <c r="AA11" s="26"/>
      <c r="AB11" s="26"/>
    </row>
    <row r="12" spans="1:28" ht="11.25" customHeight="1" x14ac:dyDescent="0.25">
      <c r="A12" s="114"/>
      <c r="B12" s="114"/>
      <c r="C12" s="114"/>
      <c r="D12" s="28" t="s">
        <v>42</v>
      </c>
      <c r="E12" s="28" t="s">
        <v>25</v>
      </c>
      <c r="F12" s="28" t="s">
        <v>25</v>
      </c>
      <c r="G12" s="29" t="s">
        <v>67</v>
      </c>
      <c r="H12" s="29" t="s">
        <v>60</v>
      </c>
      <c r="I12" s="29">
        <f>'MERCADO TE'!$U$9</f>
        <v>7.3130000000000006</v>
      </c>
      <c r="J12" s="15"/>
      <c r="L12" s="26">
        <f>1 - CUSTOS!$M$25</f>
        <v>1</v>
      </c>
      <c r="M12" s="26">
        <f>1 - CUSTOS!$M$25</f>
        <v>1</v>
      </c>
      <c r="N12" s="26">
        <f>1 - CUSTOS!$M$25</f>
        <v>1</v>
      </c>
      <c r="O12" s="26">
        <f>1 - CUSTOS!$M$25</f>
        <v>1</v>
      </c>
      <c r="P12" s="26">
        <f>1 - CUSTOS!$M$25</f>
        <v>1</v>
      </c>
      <c r="Q12" s="26"/>
      <c r="R12" s="26">
        <f>(1 - CUSTOS!$M$25)*1</f>
        <v>1</v>
      </c>
      <c r="S12" s="26"/>
      <c r="T12" s="26">
        <f>1 - CUSTOS!$M$25</f>
        <v>1</v>
      </c>
      <c r="U12" s="26">
        <f>1 - CUSTOS!$M$25</f>
        <v>1</v>
      </c>
      <c r="V12" s="26">
        <f>1 - CUSTOS!$M$25</f>
        <v>1</v>
      </c>
      <c r="W12" s="26"/>
      <c r="X12" s="26"/>
      <c r="Y12" s="26"/>
      <c r="Z12" s="26">
        <f>1 - CUSTOS!$M$25</f>
        <v>1</v>
      </c>
      <c r="AA12" s="26"/>
      <c r="AB12" s="26"/>
    </row>
    <row r="13" spans="1:28" ht="11.25" customHeight="1" x14ac:dyDescent="0.25">
      <c r="A13" s="114"/>
      <c r="B13" s="114"/>
      <c r="C13" s="114"/>
      <c r="D13" s="28" t="s">
        <v>39</v>
      </c>
      <c r="E13" s="28" t="s">
        <v>25</v>
      </c>
      <c r="F13" s="28" t="s">
        <v>25</v>
      </c>
      <c r="G13" s="29" t="s">
        <v>67</v>
      </c>
      <c r="H13" s="29" t="s">
        <v>60</v>
      </c>
      <c r="I13" s="29">
        <f>'MERCADO TE'!$U$10</f>
        <v>77.287999999999997</v>
      </c>
      <c r="J13" s="15"/>
      <c r="L13" s="26">
        <f>1 - CUSTOS!$M$26</f>
        <v>1</v>
      </c>
      <c r="M13" s="26">
        <f>1 - CUSTOS!$M$26</f>
        <v>1</v>
      </c>
      <c r="N13" s="26">
        <f>1 - CUSTOS!$M$26</f>
        <v>1</v>
      </c>
      <c r="O13" s="26">
        <f>1 - CUSTOS!$M$26</f>
        <v>1</v>
      </c>
      <c r="P13" s="26">
        <f>1 - CUSTOS!$M$26</f>
        <v>1</v>
      </c>
      <c r="Q13" s="26"/>
      <c r="R13" s="26">
        <f>(1 - CUSTOS!$M$26)*1</f>
        <v>1</v>
      </c>
      <c r="S13" s="26"/>
      <c r="T13" s="26">
        <f>1 - CUSTOS!$M$26</f>
        <v>1</v>
      </c>
      <c r="U13" s="26">
        <f>1 - CUSTOS!$M$26</f>
        <v>1</v>
      </c>
      <c r="V13" s="26">
        <f>1 - CUSTOS!$M$26</f>
        <v>1</v>
      </c>
      <c r="W13" s="26"/>
      <c r="X13" s="26"/>
      <c r="Y13" s="26"/>
      <c r="Z13" s="26">
        <f>1 - CUSTOS!$M$26</f>
        <v>1</v>
      </c>
      <c r="AA13" s="26"/>
      <c r="AB13" s="26"/>
    </row>
    <row r="14" spans="1:28" ht="11.25" customHeight="1" x14ac:dyDescent="0.25">
      <c r="A14" s="114"/>
      <c r="B14" s="114"/>
      <c r="C14" s="114"/>
      <c r="D14" s="28" t="s">
        <v>40</v>
      </c>
      <c r="E14" s="28" t="s">
        <v>25</v>
      </c>
      <c r="F14" s="28" t="s">
        <v>25</v>
      </c>
      <c r="G14" s="29" t="s">
        <v>67</v>
      </c>
      <c r="H14" s="29" t="s">
        <v>60</v>
      </c>
      <c r="I14" s="29">
        <f>'MERCADO TE'!$U$11</f>
        <v>81.510999999999996</v>
      </c>
      <c r="J14" s="15"/>
      <c r="L14" s="26">
        <f>1 - CUSTOS!$M$27</f>
        <v>1</v>
      </c>
      <c r="M14" s="26">
        <f>1 - CUSTOS!$M$27</f>
        <v>1</v>
      </c>
      <c r="N14" s="26">
        <f>1 - CUSTOS!$M$27</f>
        <v>1</v>
      </c>
      <c r="O14" s="26">
        <f>1 - CUSTOS!$M$27</f>
        <v>1</v>
      </c>
      <c r="P14" s="26">
        <f>1 - CUSTOS!$M$27</f>
        <v>1</v>
      </c>
      <c r="Q14" s="26"/>
      <c r="R14" s="26">
        <f>(1 - CUSTOS!$M$27)*1</f>
        <v>1</v>
      </c>
      <c r="S14" s="26"/>
      <c r="T14" s="26">
        <f>1 - CUSTOS!$M$27</f>
        <v>1</v>
      </c>
      <c r="U14" s="26">
        <f>1 - CUSTOS!$M$27</f>
        <v>1</v>
      </c>
      <c r="V14" s="26">
        <f>1 - CUSTOS!$M$27</f>
        <v>1</v>
      </c>
      <c r="W14" s="26"/>
      <c r="X14" s="26"/>
      <c r="Y14" s="26"/>
      <c r="Z14" s="26">
        <f>1 - CUSTOS!$M$27</f>
        <v>1</v>
      </c>
      <c r="AA14" s="26"/>
      <c r="AB14" s="26"/>
    </row>
    <row r="15" spans="1:28" ht="11.25" customHeight="1" x14ac:dyDescent="0.25">
      <c r="A15" s="114"/>
      <c r="B15" s="114" t="s">
        <v>77</v>
      </c>
      <c r="C15" s="114" t="s">
        <v>24</v>
      </c>
      <c r="D15" s="28" t="s">
        <v>24</v>
      </c>
      <c r="E15" s="28" t="s">
        <v>25</v>
      </c>
      <c r="F15" s="28" t="s">
        <v>25</v>
      </c>
      <c r="G15" s="29" t="s">
        <v>67</v>
      </c>
      <c r="H15" s="29" t="s">
        <v>60</v>
      </c>
      <c r="I15" s="29">
        <f>'MERCADO TE'!$U$12</f>
        <v>0</v>
      </c>
      <c r="J15" s="15"/>
      <c r="L15" s="26">
        <v>1</v>
      </c>
      <c r="M15" s="26">
        <v>1</v>
      </c>
      <c r="N15" s="26">
        <v>1</v>
      </c>
      <c r="O15" s="26">
        <v>1</v>
      </c>
      <c r="P15" s="26">
        <v>1</v>
      </c>
      <c r="Q15" s="26"/>
      <c r="R15" s="26">
        <v>1</v>
      </c>
      <c r="S15" s="26"/>
      <c r="T15" s="26">
        <v>1</v>
      </c>
      <c r="U15" s="26">
        <v>1</v>
      </c>
      <c r="V15" s="26">
        <v>1</v>
      </c>
      <c r="W15" s="26"/>
      <c r="X15" s="26"/>
      <c r="Y15" s="26"/>
      <c r="Z15" s="26">
        <v>1</v>
      </c>
      <c r="AA15" s="26"/>
      <c r="AB15" s="26"/>
    </row>
    <row r="16" spans="1:28" ht="11.25" customHeight="1" x14ac:dyDescent="0.25">
      <c r="A16" s="114"/>
      <c r="B16" s="114"/>
      <c r="C16" s="114"/>
      <c r="D16" s="28" t="s">
        <v>41</v>
      </c>
      <c r="E16" s="28" t="s">
        <v>25</v>
      </c>
      <c r="F16" s="28" t="s">
        <v>25</v>
      </c>
      <c r="G16" s="29" t="s">
        <v>67</v>
      </c>
      <c r="H16" s="29" t="s">
        <v>60</v>
      </c>
      <c r="I16" s="29">
        <f>'MERCADO TE'!$U$13</f>
        <v>0</v>
      </c>
      <c r="J16" s="15"/>
      <c r="L16" s="26">
        <f>1 - CUSTOS!$M$24</f>
        <v>1</v>
      </c>
      <c r="M16" s="26">
        <f>1 - CUSTOS!$M$24</f>
        <v>1</v>
      </c>
      <c r="N16" s="26">
        <f>1 - CUSTOS!$M$24</f>
        <v>1</v>
      </c>
      <c r="O16" s="26">
        <f>1 - CUSTOS!$M$24</f>
        <v>1</v>
      </c>
      <c r="P16" s="26">
        <f>1 - CUSTOS!$M$24</f>
        <v>1</v>
      </c>
      <c r="Q16" s="26"/>
      <c r="R16" s="26">
        <f>(1 - CUSTOS!$M$24)*1</f>
        <v>1</v>
      </c>
      <c r="S16" s="26"/>
      <c r="T16" s="26">
        <f>1 - CUSTOS!$M$24</f>
        <v>1</v>
      </c>
      <c r="U16" s="26">
        <f>1 - CUSTOS!$M$24</f>
        <v>1</v>
      </c>
      <c r="V16" s="26">
        <f>1 - CUSTOS!$M$24</f>
        <v>1</v>
      </c>
      <c r="W16" s="26"/>
      <c r="X16" s="26"/>
      <c r="Y16" s="26"/>
      <c r="Z16" s="26">
        <f>1 - CUSTOS!$M$24</f>
        <v>1</v>
      </c>
      <c r="AA16" s="26"/>
      <c r="AB16" s="26"/>
    </row>
    <row r="17" spans="1:28" ht="11.25" customHeight="1" x14ac:dyDescent="0.25">
      <c r="A17" s="114"/>
      <c r="B17" s="114"/>
      <c r="C17" s="114"/>
      <c r="D17" s="28" t="s">
        <v>42</v>
      </c>
      <c r="E17" s="28" t="s">
        <v>25</v>
      </c>
      <c r="F17" s="28" t="s">
        <v>25</v>
      </c>
      <c r="G17" s="29" t="s">
        <v>67</v>
      </c>
      <c r="H17" s="29" t="s">
        <v>60</v>
      </c>
      <c r="I17" s="29">
        <f>'MERCADO TE'!$U$14</f>
        <v>0</v>
      </c>
      <c r="J17" s="15"/>
      <c r="L17" s="26">
        <f>1 - CUSTOS!$M$25</f>
        <v>1</v>
      </c>
      <c r="M17" s="26">
        <f>1 - CUSTOS!$M$25</f>
        <v>1</v>
      </c>
      <c r="N17" s="26">
        <f>1 - CUSTOS!$M$25</f>
        <v>1</v>
      </c>
      <c r="O17" s="26">
        <f>1 - CUSTOS!$M$25</f>
        <v>1</v>
      </c>
      <c r="P17" s="26">
        <f>1 - CUSTOS!$M$25</f>
        <v>1</v>
      </c>
      <c r="Q17" s="26"/>
      <c r="R17" s="26">
        <f>(1 - CUSTOS!$M$25)*1</f>
        <v>1</v>
      </c>
      <c r="S17" s="26"/>
      <c r="T17" s="26">
        <f>1 - CUSTOS!$M$25</f>
        <v>1</v>
      </c>
      <c r="U17" s="26">
        <f>1 - CUSTOS!$M$25</f>
        <v>1</v>
      </c>
      <c r="V17" s="26">
        <f>1 - CUSTOS!$M$25</f>
        <v>1</v>
      </c>
      <c r="W17" s="26"/>
      <c r="X17" s="26"/>
      <c r="Y17" s="26"/>
      <c r="Z17" s="26">
        <f>1 - CUSTOS!$M$25</f>
        <v>1</v>
      </c>
      <c r="AA17" s="26"/>
      <c r="AB17" s="26"/>
    </row>
    <row r="18" spans="1:28" ht="11.25" customHeight="1" x14ac:dyDescent="0.25">
      <c r="A18" s="114"/>
      <c r="B18" s="114"/>
      <c r="C18" s="114"/>
      <c r="D18" s="28" t="s">
        <v>39</v>
      </c>
      <c r="E18" s="28" t="s">
        <v>25</v>
      </c>
      <c r="F18" s="28" t="s">
        <v>25</v>
      </c>
      <c r="G18" s="29" t="s">
        <v>67</v>
      </c>
      <c r="H18" s="29" t="s">
        <v>60</v>
      </c>
      <c r="I18" s="29">
        <f>'MERCADO TE'!$U$15</f>
        <v>0</v>
      </c>
      <c r="J18" s="15"/>
      <c r="L18" s="26">
        <f>1 - CUSTOS!$M$26</f>
        <v>1</v>
      </c>
      <c r="M18" s="26">
        <f>1 - CUSTOS!$M$26</f>
        <v>1</v>
      </c>
      <c r="N18" s="26">
        <f>1 - CUSTOS!$M$26</f>
        <v>1</v>
      </c>
      <c r="O18" s="26">
        <f>1 - CUSTOS!$M$26</f>
        <v>1</v>
      </c>
      <c r="P18" s="26">
        <f>1 - CUSTOS!$M$26</f>
        <v>1</v>
      </c>
      <c r="Q18" s="26"/>
      <c r="R18" s="26">
        <f>(1 - CUSTOS!$M$26)*1</f>
        <v>1</v>
      </c>
      <c r="S18" s="26"/>
      <c r="T18" s="26">
        <f>1 - CUSTOS!$M$26</f>
        <v>1</v>
      </c>
      <c r="U18" s="26">
        <f>1 - CUSTOS!$M$26</f>
        <v>1</v>
      </c>
      <c r="V18" s="26">
        <f>1 - CUSTOS!$M$26</f>
        <v>1</v>
      </c>
      <c r="W18" s="26"/>
      <c r="X18" s="26"/>
      <c r="Y18" s="26"/>
      <c r="Z18" s="26">
        <f>1 - CUSTOS!$M$26</f>
        <v>1</v>
      </c>
      <c r="AA18" s="26"/>
      <c r="AB18" s="26"/>
    </row>
    <row r="19" spans="1:28" ht="11.25" customHeight="1" x14ac:dyDescent="0.25">
      <c r="A19" s="114"/>
      <c r="B19" s="114"/>
      <c r="C19" s="114"/>
      <c r="D19" s="28" t="s">
        <v>40</v>
      </c>
      <c r="E19" s="28" t="s">
        <v>25</v>
      </c>
      <c r="F19" s="28" t="s">
        <v>25</v>
      </c>
      <c r="G19" s="29" t="s">
        <v>67</v>
      </c>
      <c r="H19" s="29" t="s">
        <v>60</v>
      </c>
      <c r="I19" s="29">
        <f>'MERCADO TE'!$U$16</f>
        <v>0</v>
      </c>
      <c r="J19" s="15"/>
      <c r="L19" s="26">
        <f>1 - CUSTOS!$M$27</f>
        <v>1</v>
      </c>
      <c r="M19" s="26">
        <f>1 - CUSTOS!$M$27</f>
        <v>1</v>
      </c>
      <c r="N19" s="26">
        <f>1 - CUSTOS!$M$27</f>
        <v>1</v>
      </c>
      <c r="O19" s="26">
        <f>1 - CUSTOS!$M$27</f>
        <v>1</v>
      </c>
      <c r="P19" s="26">
        <f>1 - CUSTOS!$M$27</f>
        <v>1</v>
      </c>
      <c r="Q19" s="26"/>
      <c r="R19" s="26">
        <f>(1 - CUSTOS!$M$27)*1</f>
        <v>1</v>
      </c>
      <c r="S19" s="26"/>
      <c r="T19" s="26">
        <f>1 - CUSTOS!$M$27</f>
        <v>1</v>
      </c>
      <c r="U19" s="26">
        <f>1 - CUSTOS!$M$27</f>
        <v>1</v>
      </c>
      <c r="V19" s="26">
        <f>1 - CUSTOS!$M$27</f>
        <v>1</v>
      </c>
      <c r="W19" s="26"/>
      <c r="X19" s="26"/>
      <c r="Y19" s="26"/>
      <c r="Z19" s="26">
        <f>1 - CUSTOS!$M$27</f>
        <v>1</v>
      </c>
      <c r="AA19" s="26"/>
      <c r="AB19" s="26"/>
    </row>
    <row r="20" spans="1:28" ht="11.25" customHeight="1" x14ac:dyDescent="0.25">
      <c r="A20" s="114" t="s">
        <v>31</v>
      </c>
      <c r="B20" s="114" t="s">
        <v>59</v>
      </c>
      <c r="C20" s="114" t="s">
        <v>32</v>
      </c>
      <c r="D20" s="114" t="s">
        <v>25</v>
      </c>
      <c r="E20" s="114" t="s">
        <v>25</v>
      </c>
      <c r="F20" s="114" t="s">
        <v>25</v>
      </c>
      <c r="G20" s="29" t="s">
        <v>61</v>
      </c>
      <c r="H20" s="29" t="s">
        <v>60</v>
      </c>
      <c r="I20" s="29">
        <f>'MERCADO TE'!$U$17</f>
        <v>0</v>
      </c>
      <c r="J20" s="15"/>
      <c r="L20" s="26">
        <f>1 - CUSTOS!$M$28</f>
        <v>1</v>
      </c>
      <c r="M20" s="26">
        <f>1 - CUSTOS!$M$28</f>
        <v>1</v>
      </c>
      <c r="N20" s="26">
        <f>1 - CUSTOS!$M$28</f>
        <v>1</v>
      </c>
      <c r="O20" s="26">
        <f>1 - CUSTOS!$M$28</f>
        <v>1</v>
      </c>
      <c r="P20" s="26">
        <f>1 - CUSTOS!$M$28</f>
        <v>1</v>
      </c>
      <c r="Q20" s="26"/>
      <c r="R20" s="26">
        <f>(1 - CUSTOS!$M$28)*1</f>
        <v>1</v>
      </c>
      <c r="S20" s="26"/>
      <c r="T20" s="26">
        <f>1 - CUSTOS!$M$28</f>
        <v>1</v>
      </c>
      <c r="U20" s="26">
        <f>1 - CUSTOS!$M$28</f>
        <v>1</v>
      </c>
      <c r="V20" s="26">
        <f>1 - CUSTOS!$M$28</f>
        <v>1</v>
      </c>
      <c r="W20" s="26"/>
      <c r="X20" s="26"/>
      <c r="Y20" s="26"/>
      <c r="Z20" s="26">
        <f>1 - CUSTOS!$M$28</f>
        <v>1</v>
      </c>
      <c r="AA20" s="26"/>
      <c r="AB20" s="26"/>
    </row>
    <row r="21" spans="1:28" ht="11.25" customHeight="1" x14ac:dyDescent="0.25">
      <c r="A21" s="114"/>
      <c r="B21" s="114"/>
      <c r="C21" s="114"/>
      <c r="D21" s="114"/>
      <c r="E21" s="114"/>
      <c r="F21" s="114"/>
      <c r="G21" s="29" t="s">
        <v>74</v>
      </c>
      <c r="H21" s="29" t="s">
        <v>60</v>
      </c>
      <c r="I21" s="29">
        <f>'MERCADO TE'!$U$18</f>
        <v>0</v>
      </c>
      <c r="J21" s="15"/>
      <c r="L21" s="26">
        <f>1 - CUSTOS!$M$28</f>
        <v>1</v>
      </c>
      <c r="M21" s="26">
        <f>1 - CUSTOS!$M$28</f>
        <v>1</v>
      </c>
      <c r="N21" s="26">
        <f>1 - CUSTOS!$M$28</f>
        <v>1</v>
      </c>
      <c r="O21" s="26">
        <f>1 - CUSTOS!$M$28</f>
        <v>1</v>
      </c>
      <c r="P21" s="26">
        <f>1 - CUSTOS!$M$28</f>
        <v>1</v>
      </c>
      <c r="Q21" s="26"/>
      <c r="R21" s="26">
        <f>(1 - CUSTOS!$M$28)*1</f>
        <v>1</v>
      </c>
      <c r="S21" s="26"/>
      <c r="T21" s="26">
        <f>1 - CUSTOS!$M$28</f>
        <v>1</v>
      </c>
      <c r="U21" s="26">
        <f>1 - CUSTOS!$M$28</f>
        <v>1</v>
      </c>
      <c r="V21" s="26">
        <f>1 - CUSTOS!$M$28</f>
        <v>1</v>
      </c>
      <c r="W21" s="26"/>
      <c r="X21" s="26"/>
      <c r="Y21" s="26"/>
      <c r="Z21" s="26">
        <f>1 - CUSTOS!$M$28</f>
        <v>1</v>
      </c>
      <c r="AA21" s="26"/>
      <c r="AB21" s="26"/>
    </row>
    <row r="22" spans="1:28" ht="11.25" customHeight="1" x14ac:dyDescent="0.25">
      <c r="A22" s="114"/>
      <c r="B22" s="114"/>
      <c r="C22" s="114"/>
      <c r="D22" s="114"/>
      <c r="E22" s="114"/>
      <c r="F22" s="114"/>
      <c r="G22" s="29" t="s">
        <v>62</v>
      </c>
      <c r="H22" s="29" t="s">
        <v>60</v>
      </c>
      <c r="I22" s="29">
        <f>'MERCADO TE'!$U$19</f>
        <v>0</v>
      </c>
      <c r="J22" s="15"/>
      <c r="L22" s="26">
        <f>1 - CUSTOS!$M$28</f>
        <v>1</v>
      </c>
      <c r="M22" s="26">
        <f>1 - CUSTOS!$M$28</f>
        <v>1</v>
      </c>
      <c r="N22" s="26">
        <f>1 - CUSTOS!$M$28</f>
        <v>1</v>
      </c>
      <c r="O22" s="26">
        <f>1 - CUSTOS!$M$28</f>
        <v>1</v>
      </c>
      <c r="P22" s="26">
        <f>1 - CUSTOS!$M$28</f>
        <v>1</v>
      </c>
      <c r="Q22" s="26"/>
      <c r="R22" s="26">
        <f>(1 - CUSTOS!$M$28)*1</f>
        <v>1</v>
      </c>
      <c r="S22" s="26"/>
      <c r="T22" s="26">
        <f>1 - CUSTOS!$M$28</f>
        <v>1</v>
      </c>
      <c r="U22" s="26">
        <f>1 - CUSTOS!$M$28</f>
        <v>1</v>
      </c>
      <c r="V22" s="26">
        <f>1 - CUSTOS!$M$28</f>
        <v>1</v>
      </c>
      <c r="W22" s="26"/>
      <c r="X22" s="26"/>
      <c r="Y22" s="26"/>
      <c r="Z22" s="26">
        <f>1 - CUSTOS!$M$28</f>
        <v>1</v>
      </c>
      <c r="AA22" s="26"/>
      <c r="AB22" s="26"/>
    </row>
    <row r="23" spans="1:28" ht="11.25" customHeight="1" x14ac:dyDescent="0.25">
      <c r="A23" s="114"/>
      <c r="B23" s="28" t="s">
        <v>75</v>
      </c>
      <c r="C23" s="28" t="s">
        <v>32</v>
      </c>
      <c r="D23" s="28" t="s">
        <v>25</v>
      </c>
      <c r="E23" s="28" t="s">
        <v>25</v>
      </c>
      <c r="F23" s="28" t="s">
        <v>25</v>
      </c>
      <c r="G23" s="29" t="s">
        <v>67</v>
      </c>
      <c r="H23" s="29" t="s">
        <v>60</v>
      </c>
      <c r="I23" s="29">
        <f>'MERCADO TE'!$U$20</f>
        <v>6180.567</v>
      </c>
      <c r="J23" s="15"/>
      <c r="L23" s="26">
        <f>1 - CUSTOS!$M$28</f>
        <v>1</v>
      </c>
      <c r="M23" s="26">
        <f>1 - CUSTOS!$M$28</f>
        <v>1</v>
      </c>
      <c r="N23" s="26">
        <f>1 - CUSTOS!$M$28</f>
        <v>1</v>
      </c>
      <c r="O23" s="26">
        <f>1 - CUSTOS!$M$28</f>
        <v>1</v>
      </c>
      <c r="P23" s="26">
        <f>1 - CUSTOS!$M$28</f>
        <v>1</v>
      </c>
      <c r="Q23" s="26"/>
      <c r="R23" s="26">
        <f>(1 - CUSTOS!$M$28)*1</f>
        <v>1</v>
      </c>
      <c r="S23" s="26"/>
      <c r="T23" s="26">
        <f>1 - CUSTOS!$M$28</f>
        <v>1</v>
      </c>
      <c r="U23" s="26">
        <f>1 - CUSTOS!$M$28</f>
        <v>1</v>
      </c>
      <c r="V23" s="26">
        <f>1 - CUSTOS!$M$28</f>
        <v>1</v>
      </c>
      <c r="W23" s="26"/>
      <c r="X23" s="26"/>
      <c r="Y23" s="26"/>
      <c r="Z23" s="26">
        <f>1 - CUSTOS!$M$28</f>
        <v>1</v>
      </c>
      <c r="AA23" s="26"/>
      <c r="AB23" s="26"/>
    </row>
    <row r="24" spans="1:28" ht="11.25" customHeight="1" x14ac:dyDescent="0.25">
      <c r="A24" s="114"/>
      <c r="B24" s="114" t="s">
        <v>59</v>
      </c>
      <c r="C24" s="114" t="s">
        <v>32</v>
      </c>
      <c r="D24" s="114" t="s">
        <v>79</v>
      </c>
      <c r="E24" s="114" t="s">
        <v>25</v>
      </c>
      <c r="F24" s="114" t="s">
        <v>25</v>
      </c>
      <c r="G24" s="29" t="s">
        <v>61</v>
      </c>
      <c r="H24" s="29" t="s">
        <v>60</v>
      </c>
      <c r="I24" s="29">
        <f>'MERCADO TE'!$U$21</f>
        <v>0</v>
      </c>
      <c r="J24" s="15"/>
      <c r="L24" s="26">
        <f>1 - CUSTOS!$M$29</f>
        <v>1</v>
      </c>
      <c r="M24" s="26">
        <f>1 - CUSTOS!$M$29</f>
        <v>1</v>
      </c>
      <c r="N24" s="26">
        <f>1 - CUSTOS!$M$29</f>
        <v>1</v>
      </c>
      <c r="O24" s="26">
        <f>1 - CUSTOS!$M$29</f>
        <v>1</v>
      </c>
      <c r="P24" s="26">
        <f>1 - CUSTOS!$M$29</f>
        <v>1</v>
      </c>
      <c r="Q24" s="26"/>
      <c r="R24" s="26">
        <f>(1 - CUSTOS!$M$29)*1</f>
        <v>1</v>
      </c>
      <c r="S24" s="26"/>
      <c r="T24" s="26">
        <f>1 - CUSTOS!$M$29</f>
        <v>1</v>
      </c>
      <c r="U24" s="26">
        <f>1 - CUSTOS!$M$29</f>
        <v>1</v>
      </c>
      <c r="V24" s="26">
        <f>1 - CUSTOS!$M$29</f>
        <v>1</v>
      </c>
      <c r="W24" s="26"/>
      <c r="X24" s="26"/>
      <c r="Y24" s="26"/>
      <c r="Z24" s="26">
        <f>1 - CUSTOS!$M$29</f>
        <v>1</v>
      </c>
      <c r="AA24" s="26"/>
      <c r="AB24" s="26"/>
    </row>
    <row r="25" spans="1:28" ht="11.25" customHeight="1" x14ac:dyDescent="0.25">
      <c r="A25" s="114"/>
      <c r="B25" s="114"/>
      <c r="C25" s="114"/>
      <c r="D25" s="114"/>
      <c r="E25" s="114"/>
      <c r="F25" s="114"/>
      <c r="G25" s="29" t="s">
        <v>74</v>
      </c>
      <c r="H25" s="29" t="s">
        <v>60</v>
      </c>
      <c r="I25" s="29">
        <f>'MERCADO TE'!$U$22</f>
        <v>0</v>
      </c>
      <c r="J25" s="15"/>
      <c r="L25" s="26">
        <f>1 - CUSTOS!$M$29</f>
        <v>1</v>
      </c>
      <c r="M25" s="26">
        <f>1 - CUSTOS!$M$29</f>
        <v>1</v>
      </c>
      <c r="N25" s="26">
        <f>1 - CUSTOS!$M$29</f>
        <v>1</v>
      </c>
      <c r="O25" s="26">
        <f>1 - CUSTOS!$M$29</f>
        <v>1</v>
      </c>
      <c r="P25" s="26">
        <f>1 - CUSTOS!$M$29</f>
        <v>1</v>
      </c>
      <c r="Q25" s="26"/>
      <c r="R25" s="26">
        <f>(1 - CUSTOS!$M$29)*1</f>
        <v>1</v>
      </c>
      <c r="S25" s="26"/>
      <c r="T25" s="26">
        <f>1 - CUSTOS!$M$29</f>
        <v>1</v>
      </c>
      <c r="U25" s="26">
        <f>1 - CUSTOS!$M$29</f>
        <v>1</v>
      </c>
      <c r="V25" s="26">
        <f>1 - CUSTOS!$M$29</f>
        <v>1</v>
      </c>
      <c r="W25" s="26"/>
      <c r="X25" s="26"/>
      <c r="Y25" s="26"/>
      <c r="Z25" s="26">
        <f>1 - CUSTOS!$M$29</f>
        <v>1</v>
      </c>
      <c r="AA25" s="26"/>
      <c r="AB25" s="26"/>
    </row>
    <row r="26" spans="1:28" ht="11.25" customHeight="1" x14ac:dyDescent="0.25">
      <c r="A26" s="114"/>
      <c r="B26" s="114"/>
      <c r="C26" s="114"/>
      <c r="D26" s="114"/>
      <c r="E26" s="114"/>
      <c r="F26" s="114"/>
      <c r="G26" s="29" t="s">
        <v>62</v>
      </c>
      <c r="H26" s="29" t="s">
        <v>60</v>
      </c>
      <c r="I26" s="29">
        <f>'MERCADO TE'!$U$23</f>
        <v>0</v>
      </c>
      <c r="J26" s="15"/>
      <c r="L26" s="26">
        <f>1 - CUSTOS!$M$29</f>
        <v>1</v>
      </c>
      <c r="M26" s="26">
        <f>1 - CUSTOS!$M$29</f>
        <v>1</v>
      </c>
      <c r="N26" s="26">
        <f>1 - CUSTOS!$M$29</f>
        <v>1</v>
      </c>
      <c r="O26" s="26">
        <f>1 - CUSTOS!$M$29</f>
        <v>1</v>
      </c>
      <c r="P26" s="26">
        <f>1 - CUSTOS!$M$29</f>
        <v>1</v>
      </c>
      <c r="Q26" s="26"/>
      <c r="R26" s="26">
        <f>(1 - CUSTOS!$M$29)*1</f>
        <v>1</v>
      </c>
      <c r="S26" s="26"/>
      <c r="T26" s="26">
        <f>1 - CUSTOS!$M$29</f>
        <v>1</v>
      </c>
      <c r="U26" s="26">
        <f>1 - CUSTOS!$M$29</f>
        <v>1</v>
      </c>
      <c r="V26" s="26">
        <f>1 - CUSTOS!$M$29</f>
        <v>1</v>
      </c>
      <c r="W26" s="26"/>
      <c r="X26" s="26"/>
      <c r="Y26" s="26"/>
      <c r="Z26" s="26">
        <f>1 - CUSTOS!$M$29</f>
        <v>1</v>
      </c>
      <c r="AA26" s="26"/>
      <c r="AB26" s="26"/>
    </row>
    <row r="27" spans="1:28" ht="11.25" customHeight="1" x14ac:dyDescent="0.25">
      <c r="A27" s="114"/>
      <c r="B27" s="28" t="s">
        <v>75</v>
      </c>
      <c r="C27" s="28" t="s">
        <v>32</v>
      </c>
      <c r="D27" s="28" t="s">
        <v>79</v>
      </c>
      <c r="E27" s="28" t="s">
        <v>25</v>
      </c>
      <c r="F27" s="28" t="s">
        <v>25</v>
      </c>
      <c r="G27" s="29" t="s">
        <v>67</v>
      </c>
      <c r="H27" s="29" t="s">
        <v>60</v>
      </c>
      <c r="I27" s="29">
        <f>'MERCADO TE'!$U$24</f>
        <v>0</v>
      </c>
      <c r="J27" s="15"/>
      <c r="L27" s="26">
        <f>1 - CUSTOS!$M$29</f>
        <v>1</v>
      </c>
      <c r="M27" s="26">
        <f>1 - CUSTOS!$M$29</f>
        <v>1</v>
      </c>
      <c r="N27" s="26">
        <f>1 - CUSTOS!$M$29</f>
        <v>1</v>
      </c>
      <c r="O27" s="26">
        <f>1 - CUSTOS!$M$29</f>
        <v>1</v>
      </c>
      <c r="P27" s="26">
        <f>1 - CUSTOS!$M$29</f>
        <v>1</v>
      </c>
      <c r="Q27" s="26"/>
      <c r="R27" s="26">
        <f>(1 - CUSTOS!$M$29)*1</f>
        <v>1</v>
      </c>
      <c r="S27" s="26"/>
      <c r="T27" s="26">
        <f>1 - CUSTOS!$M$29</f>
        <v>1</v>
      </c>
      <c r="U27" s="26">
        <f>1 - CUSTOS!$M$29</f>
        <v>1</v>
      </c>
      <c r="V27" s="26">
        <f>1 - CUSTOS!$M$29</f>
        <v>1</v>
      </c>
      <c r="W27" s="26"/>
      <c r="X27" s="26"/>
      <c r="Y27" s="26"/>
      <c r="Z27" s="26">
        <f>1 - CUSTOS!$M$29</f>
        <v>1</v>
      </c>
      <c r="AA27" s="26"/>
      <c r="AB27" s="26"/>
    </row>
    <row r="28" spans="1:28" ht="11.25" customHeight="1" x14ac:dyDescent="0.25">
      <c r="A28" s="114"/>
      <c r="B28" s="114" t="s">
        <v>59</v>
      </c>
      <c r="C28" s="114" t="s">
        <v>32</v>
      </c>
      <c r="D28" s="114" t="s">
        <v>80</v>
      </c>
      <c r="E28" s="114" t="s">
        <v>25</v>
      </c>
      <c r="F28" s="114" t="s">
        <v>25</v>
      </c>
      <c r="G28" s="29" t="s">
        <v>61</v>
      </c>
      <c r="H28" s="29" t="s">
        <v>60</v>
      </c>
      <c r="I28" s="29">
        <f>'MERCADO TE'!$U$25</f>
        <v>0</v>
      </c>
      <c r="J28" s="15"/>
      <c r="L28" s="26">
        <f>1 - CUSTOS!$M$30</f>
        <v>1</v>
      </c>
      <c r="M28" s="26">
        <f>1 - CUSTOS!$M$30</f>
        <v>1</v>
      </c>
      <c r="N28" s="26">
        <f>1 - CUSTOS!$M$30</f>
        <v>1</v>
      </c>
      <c r="O28" s="26">
        <f>1 - CUSTOS!$M$30</f>
        <v>1</v>
      </c>
      <c r="P28" s="26">
        <f>1 - CUSTOS!$M$30</f>
        <v>1</v>
      </c>
      <c r="Q28" s="26"/>
      <c r="R28" s="26">
        <f>(1 - CUSTOS!$M$30)*1</f>
        <v>1</v>
      </c>
      <c r="S28" s="26"/>
      <c r="T28" s="26">
        <f>1 - CUSTOS!$M$30</f>
        <v>1</v>
      </c>
      <c r="U28" s="26">
        <f>1 - CUSTOS!$M$30</f>
        <v>1</v>
      </c>
      <c r="V28" s="26">
        <f>1 - CUSTOS!$M$30</f>
        <v>1</v>
      </c>
      <c r="W28" s="26"/>
      <c r="X28" s="26"/>
      <c r="Y28" s="26"/>
      <c r="Z28" s="26">
        <f>1 - CUSTOS!$M$30</f>
        <v>1</v>
      </c>
      <c r="AA28" s="26"/>
      <c r="AB28" s="26"/>
    </row>
    <row r="29" spans="1:28" ht="11.25" customHeight="1" x14ac:dyDescent="0.25">
      <c r="A29" s="114"/>
      <c r="B29" s="114"/>
      <c r="C29" s="114"/>
      <c r="D29" s="114"/>
      <c r="E29" s="114"/>
      <c r="F29" s="114"/>
      <c r="G29" s="29" t="s">
        <v>74</v>
      </c>
      <c r="H29" s="29" t="s">
        <v>60</v>
      </c>
      <c r="I29" s="29">
        <f>'MERCADO TE'!$U$26</f>
        <v>0</v>
      </c>
      <c r="J29" s="15"/>
      <c r="L29" s="26">
        <f>1 - CUSTOS!$M$30</f>
        <v>1</v>
      </c>
      <c r="M29" s="26">
        <f>1 - CUSTOS!$M$30</f>
        <v>1</v>
      </c>
      <c r="N29" s="26">
        <f>1 - CUSTOS!$M$30</f>
        <v>1</v>
      </c>
      <c r="O29" s="26">
        <f>1 - CUSTOS!$M$30</f>
        <v>1</v>
      </c>
      <c r="P29" s="26">
        <f>1 - CUSTOS!$M$30</f>
        <v>1</v>
      </c>
      <c r="Q29" s="26"/>
      <c r="R29" s="26">
        <f>(1 - CUSTOS!$M$30)*1</f>
        <v>1</v>
      </c>
      <c r="S29" s="26"/>
      <c r="T29" s="26">
        <f>1 - CUSTOS!$M$30</f>
        <v>1</v>
      </c>
      <c r="U29" s="26">
        <f>1 - CUSTOS!$M$30</f>
        <v>1</v>
      </c>
      <c r="V29" s="26">
        <f>1 - CUSTOS!$M$30</f>
        <v>1</v>
      </c>
      <c r="W29" s="26"/>
      <c r="X29" s="26"/>
      <c r="Y29" s="26"/>
      <c r="Z29" s="26">
        <f>1 - CUSTOS!$M$30</f>
        <v>1</v>
      </c>
      <c r="AA29" s="26"/>
      <c r="AB29" s="26"/>
    </row>
    <row r="30" spans="1:28" ht="11.25" customHeight="1" x14ac:dyDescent="0.25">
      <c r="A30" s="114"/>
      <c r="B30" s="114"/>
      <c r="C30" s="114"/>
      <c r="D30" s="114"/>
      <c r="E30" s="114"/>
      <c r="F30" s="114"/>
      <c r="G30" s="29" t="s">
        <v>62</v>
      </c>
      <c r="H30" s="29" t="s">
        <v>60</v>
      </c>
      <c r="I30" s="29">
        <f>'MERCADO TE'!$U$27</f>
        <v>0</v>
      </c>
      <c r="J30" s="15"/>
      <c r="L30" s="26">
        <f>1 - CUSTOS!$M$30</f>
        <v>1</v>
      </c>
      <c r="M30" s="26">
        <f>1 - CUSTOS!$M$30</f>
        <v>1</v>
      </c>
      <c r="N30" s="26">
        <f>1 - CUSTOS!$M$30</f>
        <v>1</v>
      </c>
      <c r="O30" s="26">
        <f>1 - CUSTOS!$M$30</f>
        <v>1</v>
      </c>
      <c r="P30" s="26">
        <f>1 - CUSTOS!$M$30</f>
        <v>1</v>
      </c>
      <c r="Q30" s="26"/>
      <c r="R30" s="26">
        <f>(1 - CUSTOS!$M$30)*1</f>
        <v>1</v>
      </c>
      <c r="S30" s="26"/>
      <c r="T30" s="26">
        <f>1 - CUSTOS!$M$30</f>
        <v>1</v>
      </c>
      <c r="U30" s="26">
        <f>1 - CUSTOS!$M$30</f>
        <v>1</v>
      </c>
      <c r="V30" s="26">
        <f>1 - CUSTOS!$M$30</f>
        <v>1</v>
      </c>
      <c r="W30" s="26"/>
      <c r="X30" s="26"/>
      <c r="Y30" s="26"/>
      <c r="Z30" s="26">
        <f>1 - CUSTOS!$M$30</f>
        <v>1</v>
      </c>
      <c r="AA30" s="26"/>
      <c r="AB30" s="26"/>
    </row>
    <row r="31" spans="1:28" ht="11.25" customHeight="1" x14ac:dyDescent="0.25">
      <c r="A31" s="114"/>
      <c r="B31" s="28" t="s">
        <v>75</v>
      </c>
      <c r="C31" s="28" t="s">
        <v>32</v>
      </c>
      <c r="D31" s="28" t="s">
        <v>80</v>
      </c>
      <c r="E31" s="28" t="s">
        <v>25</v>
      </c>
      <c r="F31" s="28" t="s">
        <v>25</v>
      </c>
      <c r="G31" s="29" t="s">
        <v>67</v>
      </c>
      <c r="H31" s="29" t="s">
        <v>60</v>
      </c>
      <c r="I31" s="29">
        <f>'MERCADO TE'!$U$28</f>
        <v>0</v>
      </c>
      <c r="J31" s="15"/>
      <c r="L31" s="26">
        <f>1 - CUSTOS!$M$30</f>
        <v>1</v>
      </c>
      <c r="M31" s="26">
        <f>1 - CUSTOS!$M$30</f>
        <v>1</v>
      </c>
      <c r="N31" s="26">
        <f>1 - CUSTOS!$M$30</f>
        <v>1</v>
      </c>
      <c r="O31" s="26">
        <f>1 - CUSTOS!$M$30</f>
        <v>1</v>
      </c>
      <c r="P31" s="26">
        <f>1 - CUSTOS!$M$30</f>
        <v>1</v>
      </c>
      <c r="Q31" s="26"/>
      <c r="R31" s="26">
        <f>(1 - CUSTOS!$M$30)*1</f>
        <v>1</v>
      </c>
      <c r="S31" s="26"/>
      <c r="T31" s="26">
        <f>1 - CUSTOS!$M$30</f>
        <v>1</v>
      </c>
      <c r="U31" s="26">
        <f>1 - CUSTOS!$M$30</f>
        <v>1</v>
      </c>
      <c r="V31" s="26">
        <f>1 - CUSTOS!$M$30</f>
        <v>1</v>
      </c>
      <c r="W31" s="26"/>
      <c r="X31" s="26"/>
      <c r="Y31" s="26"/>
      <c r="Z31" s="26">
        <f>1 - CUSTOS!$M$30</f>
        <v>1</v>
      </c>
      <c r="AA31" s="26"/>
      <c r="AB31" s="26"/>
    </row>
    <row r="32" spans="1:28" ht="11.25" customHeight="1" x14ac:dyDescent="0.25">
      <c r="A32" s="114"/>
      <c r="B32" s="114" t="s">
        <v>77</v>
      </c>
      <c r="C32" s="114" t="s">
        <v>32</v>
      </c>
      <c r="D32" s="28" t="s">
        <v>25</v>
      </c>
      <c r="E32" s="28" t="s">
        <v>25</v>
      </c>
      <c r="F32" s="28" t="s">
        <v>25</v>
      </c>
      <c r="G32" s="29" t="s">
        <v>67</v>
      </c>
      <c r="H32" s="29" t="s">
        <v>60</v>
      </c>
      <c r="I32" s="29">
        <f>'MERCADO TE'!$U$29</f>
        <v>0</v>
      </c>
      <c r="J32" s="15"/>
      <c r="L32" s="26">
        <f>1 - CUSTOS!$M$28</f>
        <v>1</v>
      </c>
      <c r="M32" s="26">
        <f>1 - CUSTOS!$M$28</f>
        <v>1</v>
      </c>
      <c r="N32" s="26">
        <f>1 - CUSTOS!$M$28</f>
        <v>1</v>
      </c>
      <c r="O32" s="26">
        <f>1 - CUSTOS!$M$28</f>
        <v>1</v>
      </c>
      <c r="P32" s="26">
        <f>1 - CUSTOS!$M$28</f>
        <v>1</v>
      </c>
      <c r="Q32" s="26"/>
      <c r="R32" s="26">
        <f>(1 - CUSTOS!$M$28)*1</f>
        <v>1</v>
      </c>
      <c r="S32" s="26"/>
      <c r="T32" s="26">
        <f>1 - CUSTOS!$M$28</f>
        <v>1</v>
      </c>
      <c r="U32" s="26">
        <f>1 - CUSTOS!$M$28</f>
        <v>1</v>
      </c>
      <c r="V32" s="26">
        <f>1 - CUSTOS!$M$28</f>
        <v>1</v>
      </c>
      <c r="W32" s="26"/>
      <c r="X32" s="26"/>
      <c r="Y32" s="26"/>
      <c r="Z32" s="26">
        <f>1 - CUSTOS!$M$28</f>
        <v>1</v>
      </c>
      <c r="AA32" s="26"/>
      <c r="AB32" s="26"/>
    </row>
    <row r="33" spans="1:28" ht="11.25" customHeight="1" x14ac:dyDescent="0.25">
      <c r="A33" s="114"/>
      <c r="B33" s="114"/>
      <c r="C33" s="114"/>
      <c r="D33" s="28" t="s">
        <v>79</v>
      </c>
      <c r="E33" s="28" t="s">
        <v>25</v>
      </c>
      <c r="F33" s="28" t="s">
        <v>25</v>
      </c>
      <c r="G33" s="29" t="s">
        <v>67</v>
      </c>
      <c r="H33" s="29" t="s">
        <v>60</v>
      </c>
      <c r="I33" s="29">
        <f>'MERCADO TE'!$U$30</f>
        <v>0</v>
      </c>
      <c r="J33" s="15"/>
      <c r="L33" s="26">
        <f>1 - CUSTOS!$M$29</f>
        <v>1</v>
      </c>
      <c r="M33" s="26">
        <f>1 - CUSTOS!$M$29</f>
        <v>1</v>
      </c>
      <c r="N33" s="26">
        <f>1 - CUSTOS!$M$29</f>
        <v>1</v>
      </c>
      <c r="O33" s="26">
        <f>1 - CUSTOS!$M$29</f>
        <v>1</v>
      </c>
      <c r="P33" s="26">
        <f>1 - CUSTOS!$M$29</f>
        <v>1</v>
      </c>
      <c r="Q33" s="26"/>
      <c r="R33" s="26">
        <f>(1 - CUSTOS!$M$29)*1</f>
        <v>1</v>
      </c>
      <c r="S33" s="26"/>
      <c r="T33" s="26">
        <f>1 - CUSTOS!$M$29</f>
        <v>1</v>
      </c>
      <c r="U33" s="26">
        <f>1 - CUSTOS!$M$29</f>
        <v>1</v>
      </c>
      <c r="V33" s="26">
        <f>1 - CUSTOS!$M$29</f>
        <v>1</v>
      </c>
      <c r="W33" s="26"/>
      <c r="X33" s="26"/>
      <c r="Y33" s="26"/>
      <c r="Z33" s="26">
        <f>1 - CUSTOS!$M$29</f>
        <v>1</v>
      </c>
      <c r="AA33" s="26"/>
      <c r="AB33" s="26"/>
    </row>
    <row r="34" spans="1:28" ht="11.25" customHeight="1" x14ac:dyDescent="0.25">
      <c r="A34" s="114"/>
      <c r="B34" s="114"/>
      <c r="C34" s="114"/>
      <c r="D34" s="28" t="s">
        <v>80</v>
      </c>
      <c r="E34" s="28" t="s">
        <v>25</v>
      </c>
      <c r="F34" s="28" t="s">
        <v>25</v>
      </c>
      <c r="G34" s="29" t="s">
        <v>67</v>
      </c>
      <c r="H34" s="29" t="s">
        <v>60</v>
      </c>
      <c r="I34" s="29">
        <f>'MERCADO TE'!$U$31</f>
        <v>0</v>
      </c>
      <c r="J34" s="15"/>
      <c r="L34" s="26">
        <f>1 - CUSTOS!$M$30</f>
        <v>1</v>
      </c>
      <c r="M34" s="26">
        <f>1 - CUSTOS!$M$30</f>
        <v>1</v>
      </c>
      <c r="N34" s="26">
        <f>1 - CUSTOS!$M$30</f>
        <v>1</v>
      </c>
      <c r="O34" s="26">
        <f>1 - CUSTOS!$M$30</f>
        <v>1</v>
      </c>
      <c r="P34" s="26">
        <f>1 - CUSTOS!$M$30</f>
        <v>1</v>
      </c>
      <c r="Q34" s="26"/>
      <c r="R34" s="26">
        <f>(1 - CUSTOS!$M$30)*1</f>
        <v>1</v>
      </c>
      <c r="S34" s="26"/>
      <c r="T34" s="26">
        <f>1 - CUSTOS!$M$30</f>
        <v>1</v>
      </c>
      <c r="U34" s="26">
        <f>1 - CUSTOS!$M$30</f>
        <v>1</v>
      </c>
      <c r="V34" s="26">
        <f>1 - CUSTOS!$M$30</f>
        <v>1</v>
      </c>
      <c r="W34" s="26"/>
      <c r="X34" s="26"/>
      <c r="Y34" s="26"/>
      <c r="Z34" s="26">
        <f>1 - CUSTOS!$M$30</f>
        <v>1</v>
      </c>
      <c r="AA34" s="26"/>
      <c r="AB34" s="26"/>
    </row>
    <row r="35" spans="1:28" ht="11.25" customHeight="1" x14ac:dyDescent="0.25">
      <c r="A35" s="114" t="s">
        <v>28</v>
      </c>
      <c r="B35" s="114" t="s">
        <v>59</v>
      </c>
      <c r="C35" s="114" t="s">
        <v>25</v>
      </c>
      <c r="D35" s="114" t="s">
        <v>25</v>
      </c>
      <c r="E35" s="114" t="s">
        <v>25</v>
      </c>
      <c r="F35" s="114" t="s">
        <v>25</v>
      </c>
      <c r="G35" s="29" t="s">
        <v>61</v>
      </c>
      <c r="H35" s="29" t="s">
        <v>60</v>
      </c>
      <c r="I35" s="29">
        <f>'MERCADO TE'!$U$32</f>
        <v>0</v>
      </c>
      <c r="J35" s="15"/>
      <c r="L35" s="26">
        <f>1 - CUSTOS!$M$31</f>
        <v>1</v>
      </c>
      <c r="M35" s="26">
        <f>1 - CUSTOS!$M$31</f>
        <v>1</v>
      </c>
      <c r="N35" s="26">
        <f>1 - CUSTOS!$M$31</f>
        <v>1</v>
      </c>
      <c r="O35" s="26">
        <f>1 - CUSTOS!$M$31</f>
        <v>1</v>
      </c>
      <c r="P35" s="26">
        <f>1 - CUSTOS!$M$31</f>
        <v>1</v>
      </c>
      <c r="Q35" s="26"/>
      <c r="R35" s="26">
        <f>(1 - CUSTOS!$M$31)*1</f>
        <v>1</v>
      </c>
      <c r="S35" s="26"/>
      <c r="T35" s="26">
        <f>1 - CUSTOS!$M$31</f>
        <v>1</v>
      </c>
      <c r="U35" s="26">
        <f>1 - CUSTOS!$M$31</f>
        <v>1</v>
      </c>
      <c r="V35" s="26">
        <f>1 - CUSTOS!$M$31</f>
        <v>1</v>
      </c>
      <c r="W35" s="26"/>
      <c r="X35" s="26"/>
      <c r="Y35" s="26"/>
      <c r="Z35" s="26">
        <f>1 - CUSTOS!$M$31</f>
        <v>1</v>
      </c>
      <c r="AA35" s="26"/>
      <c r="AB35" s="26"/>
    </row>
    <row r="36" spans="1:28" ht="11.25" customHeight="1" x14ac:dyDescent="0.25">
      <c r="A36" s="114"/>
      <c r="B36" s="114"/>
      <c r="C36" s="114"/>
      <c r="D36" s="114"/>
      <c r="E36" s="114"/>
      <c r="F36" s="114"/>
      <c r="G36" s="29" t="s">
        <v>74</v>
      </c>
      <c r="H36" s="29" t="s">
        <v>60</v>
      </c>
      <c r="I36" s="29">
        <f>'MERCADO TE'!$U$33</f>
        <v>0</v>
      </c>
      <c r="J36" s="15"/>
      <c r="L36" s="26">
        <f>1 - CUSTOS!$M$31</f>
        <v>1</v>
      </c>
      <c r="M36" s="26">
        <f>1 - CUSTOS!$M$31</f>
        <v>1</v>
      </c>
      <c r="N36" s="26">
        <f>1 - CUSTOS!$M$31</f>
        <v>1</v>
      </c>
      <c r="O36" s="26">
        <f>1 - CUSTOS!$M$31</f>
        <v>1</v>
      </c>
      <c r="P36" s="26">
        <f>1 - CUSTOS!$M$31</f>
        <v>1</v>
      </c>
      <c r="Q36" s="26"/>
      <c r="R36" s="26">
        <f>(1 - CUSTOS!$M$31)*1</f>
        <v>1</v>
      </c>
      <c r="S36" s="26"/>
      <c r="T36" s="26">
        <f>1 - CUSTOS!$M$31</f>
        <v>1</v>
      </c>
      <c r="U36" s="26">
        <f>1 - CUSTOS!$M$31</f>
        <v>1</v>
      </c>
      <c r="V36" s="26">
        <f>1 - CUSTOS!$M$31</f>
        <v>1</v>
      </c>
      <c r="W36" s="26"/>
      <c r="X36" s="26"/>
      <c r="Y36" s="26"/>
      <c r="Z36" s="26">
        <f>1 - CUSTOS!$M$31</f>
        <v>1</v>
      </c>
      <c r="AA36" s="26"/>
      <c r="AB36" s="26"/>
    </row>
    <row r="37" spans="1:28" ht="11.25" customHeight="1" x14ac:dyDescent="0.25">
      <c r="A37" s="114"/>
      <c r="B37" s="114"/>
      <c r="C37" s="114"/>
      <c r="D37" s="114"/>
      <c r="E37" s="114"/>
      <c r="F37" s="114"/>
      <c r="G37" s="29" t="s">
        <v>62</v>
      </c>
      <c r="H37" s="29" t="s">
        <v>60</v>
      </c>
      <c r="I37" s="29">
        <f>'MERCADO TE'!$U$34</f>
        <v>0</v>
      </c>
      <c r="J37" s="15"/>
      <c r="L37" s="26">
        <f>1 - CUSTOS!$M$31</f>
        <v>1</v>
      </c>
      <c r="M37" s="26">
        <f>1 - CUSTOS!$M$31</f>
        <v>1</v>
      </c>
      <c r="N37" s="26">
        <f>1 - CUSTOS!$M$31</f>
        <v>1</v>
      </c>
      <c r="O37" s="26">
        <f>1 - CUSTOS!$M$31</f>
        <v>1</v>
      </c>
      <c r="P37" s="26">
        <f>1 - CUSTOS!$M$31</f>
        <v>1</v>
      </c>
      <c r="Q37" s="26"/>
      <c r="R37" s="26">
        <f>(1 - CUSTOS!$M$31)*1</f>
        <v>1</v>
      </c>
      <c r="S37" s="26"/>
      <c r="T37" s="26">
        <f>1 - CUSTOS!$M$31</f>
        <v>1</v>
      </c>
      <c r="U37" s="26">
        <f>1 - CUSTOS!$M$31</f>
        <v>1</v>
      </c>
      <c r="V37" s="26">
        <f>1 - CUSTOS!$M$31</f>
        <v>1</v>
      </c>
      <c r="W37" s="26"/>
      <c r="X37" s="26"/>
      <c r="Y37" s="26"/>
      <c r="Z37" s="26">
        <f>1 - CUSTOS!$M$31</f>
        <v>1</v>
      </c>
      <c r="AA37" s="26"/>
      <c r="AB37" s="26"/>
    </row>
    <row r="38" spans="1:28" ht="11.25" customHeight="1" x14ac:dyDescent="0.25">
      <c r="A38" s="114"/>
      <c r="B38" s="28" t="s">
        <v>75</v>
      </c>
      <c r="C38" s="28" t="s">
        <v>25</v>
      </c>
      <c r="D38" s="28" t="s">
        <v>25</v>
      </c>
      <c r="E38" s="28" t="s">
        <v>25</v>
      </c>
      <c r="F38" s="28" t="s">
        <v>25</v>
      </c>
      <c r="G38" s="29" t="s">
        <v>67</v>
      </c>
      <c r="H38" s="29" t="s">
        <v>60</v>
      </c>
      <c r="I38" s="29">
        <f>'MERCADO TE'!$U$35</f>
        <v>3301.431</v>
      </c>
      <c r="J38" s="15"/>
      <c r="L38" s="26">
        <f>1 - CUSTOS!$M$31</f>
        <v>1</v>
      </c>
      <c r="M38" s="26">
        <f>1 - CUSTOS!$M$31</f>
        <v>1</v>
      </c>
      <c r="N38" s="26">
        <f>1 - CUSTOS!$M$31</f>
        <v>1</v>
      </c>
      <c r="O38" s="26">
        <f>1 - CUSTOS!$M$31</f>
        <v>1</v>
      </c>
      <c r="P38" s="26">
        <f>1 - CUSTOS!$M$31</f>
        <v>1</v>
      </c>
      <c r="Q38" s="26"/>
      <c r="R38" s="26">
        <f>(1 - CUSTOS!$M$31)*1</f>
        <v>1</v>
      </c>
      <c r="S38" s="26"/>
      <c r="T38" s="26">
        <f>1 - CUSTOS!$M$31</f>
        <v>1</v>
      </c>
      <c r="U38" s="26">
        <f>1 - CUSTOS!$M$31</f>
        <v>1</v>
      </c>
      <c r="V38" s="26">
        <f>1 - CUSTOS!$M$31</f>
        <v>1</v>
      </c>
      <c r="W38" s="26"/>
      <c r="X38" s="26"/>
      <c r="Y38" s="26"/>
      <c r="Z38" s="26">
        <f>1 - CUSTOS!$M$31</f>
        <v>1</v>
      </c>
      <c r="AA38" s="26"/>
      <c r="AB38" s="26"/>
    </row>
    <row r="39" spans="1:28" ht="11.25" customHeight="1" x14ac:dyDescent="0.25">
      <c r="A39" s="114"/>
      <c r="B39" s="28" t="s">
        <v>77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67</v>
      </c>
      <c r="H39" s="29" t="s">
        <v>60</v>
      </c>
      <c r="I39" s="29">
        <f>'MERCADO TE'!$U$36</f>
        <v>0</v>
      </c>
      <c r="J39" s="15"/>
      <c r="L39" s="26">
        <f>1 - CUSTOS!$M$31</f>
        <v>1</v>
      </c>
      <c r="M39" s="26">
        <f>1 - CUSTOS!$M$31</f>
        <v>1</v>
      </c>
      <c r="N39" s="26">
        <f>1 - CUSTOS!$M$31</f>
        <v>1</v>
      </c>
      <c r="O39" s="26">
        <f>1 - CUSTOS!$M$31</f>
        <v>1</v>
      </c>
      <c r="P39" s="26">
        <f>1 - CUSTOS!$M$31</f>
        <v>1</v>
      </c>
      <c r="Q39" s="26"/>
      <c r="R39" s="26">
        <f>(1 - CUSTOS!$M$31)*1</f>
        <v>1</v>
      </c>
      <c r="S39" s="26"/>
      <c r="T39" s="26">
        <f>1 - CUSTOS!$M$31</f>
        <v>1</v>
      </c>
      <c r="U39" s="26">
        <f>1 - CUSTOS!$M$31</f>
        <v>1</v>
      </c>
      <c r="V39" s="26">
        <f>1 - CUSTOS!$M$31</f>
        <v>1</v>
      </c>
      <c r="W39" s="26"/>
      <c r="X39" s="26"/>
      <c r="Y39" s="26"/>
      <c r="Z39" s="26">
        <f>1 - CUSTOS!$M$31</f>
        <v>1</v>
      </c>
      <c r="AA39" s="26"/>
      <c r="AB39" s="26"/>
    </row>
    <row r="40" spans="1:28" ht="11.25" customHeight="1" x14ac:dyDescent="0.25">
      <c r="A40" s="114" t="s">
        <v>34</v>
      </c>
      <c r="B40" s="114" t="s">
        <v>75</v>
      </c>
      <c r="C40" s="114" t="s">
        <v>35</v>
      </c>
      <c r="D40" s="28" t="s">
        <v>36</v>
      </c>
      <c r="E40" s="28" t="s">
        <v>25</v>
      </c>
      <c r="F40" s="28" t="s">
        <v>25</v>
      </c>
      <c r="G40" s="29" t="s">
        <v>67</v>
      </c>
      <c r="H40" s="29" t="s">
        <v>60</v>
      </c>
      <c r="I40" s="29">
        <f>'MERCADO TE'!$U$37</f>
        <v>274.32500000000005</v>
      </c>
      <c r="J40" s="15"/>
      <c r="L40" s="26">
        <f>1 - CUSTOS!$M$32</f>
        <v>0.55000000000000004</v>
      </c>
      <c r="M40" s="26">
        <f>1 - CUSTOS!$M$32</f>
        <v>0.55000000000000004</v>
      </c>
      <c r="N40" s="26">
        <f>1 - CUSTOS!$M$32</f>
        <v>0.55000000000000004</v>
      </c>
      <c r="O40" s="26">
        <f>1 - CUSTOS!$M$32</f>
        <v>0.55000000000000004</v>
      </c>
      <c r="P40" s="26">
        <f>1 - CUSTOS!$M$32</f>
        <v>0.55000000000000004</v>
      </c>
      <c r="Q40" s="26"/>
      <c r="R40" s="26">
        <f>(1 - CUSTOS!$M$32)*1</f>
        <v>0.55000000000000004</v>
      </c>
      <c r="S40" s="26"/>
      <c r="T40" s="26">
        <f>1 - CUSTOS!$M$32</f>
        <v>0.55000000000000004</v>
      </c>
      <c r="U40" s="26">
        <f>1 - CUSTOS!$M$32</f>
        <v>0.55000000000000004</v>
      </c>
      <c r="V40" s="26">
        <f>1 - CUSTOS!$M$32</f>
        <v>0.55000000000000004</v>
      </c>
      <c r="W40" s="26"/>
      <c r="X40" s="26"/>
      <c r="Y40" s="26"/>
      <c r="Z40" s="26">
        <f>1 - CUSTOS!$M$32</f>
        <v>0.55000000000000004</v>
      </c>
      <c r="AA40" s="26"/>
      <c r="AB40" s="26"/>
    </row>
    <row r="41" spans="1:28" ht="11.25" customHeight="1" x14ac:dyDescent="0.25">
      <c r="A41" s="114"/>
      <c r="B41" s="114"/>
      <c r="C41" s="114"/>
      <c r="D41" s="29" t="s">
        <v>81</v>
      </c>
      <c r="E41" s="29" t="s">
        <v>25</v>
      </c>
      <c r="F41" s="29" t="s">
        <v>25</v>
      </c>
      <c r="G41" s="29" t="s">
        <v>67</v>
      </c>
      <c r="H41" s="29" t="s">
        <v>60</v>
      </c>
      <c r="I41" s="29">
        <f>'MERCADO TE'!$U$38</f>
        <v>0</v>
      </c>
      <c r="J41" s="15"/>
      <c r="L41" s="26">
        <f>1 - CUSTOS!$M$33</f>
        <v>0.6</v>
      </c>
      <c r="M41" s="26">
        <f>1 - CUSTOS!$M$33</f>
        <v>0.6</v>
      </c>
      <c r="N41" s="26">
        <f>1 - CUSTOS!$M$33</f>
        <v>0.6</v>
      </c>
      <c r="O41" s="26">
        <f>1 - CUSTOS!$M$33</f>
        <v>0.6</v>
      </c>
      <c r="P41" s="26">
        <f>1 - CUSTOS!$M$33</f>
        <v>0.6</v>
      </c>
      <c r="Q41" s="26"/>
      <c r="R41" s="26">
        <f>(1 - CUSTOS!$M$33)*1</f>
        <v>0.6</v>
      </c>
      <c r="S41" s="26"/>
      <c r="T41" s="26">
        <f>1 - CUSTOS!$M$33</f>
        <v>0.6</v>
      </c>
      <c r="U41" s="26">
        <f>1 - CUSTOS!$M$33</f>
        <v>0.6</v>
      </c>
      <c r="V41" s="26">
        <f>1 - CUSTOS!$M$33</f>
        <v>0.6</v>
      </c>
      <c r="W41" s="26"/>
      <c r="X41" s="26"/>
      <c r="Y41" s="26"/>
      <c r="Z41" s="26">
        <f>1 - CUSTOS!$M$33</f>
        <v>0.6</v>
      </c>
      <c r="AA41" s="26"/>
      <c r="AB41" s="26"/>
    </row>
    <row r="43" spans="1:28" ht="11.25" customHeight="1" x14ac:dyDescent="0.25">
      <c r="K43" s="31" t="s">
        <v>387</v>
      </c>
      <c r="L43" s="26">
        <f t="shared" ref="L43:AB43" si="0">SUMPRODUCT($I$5:$I$41,L$5:L$41)</f>
        <v>13253.820750000001</v>
      </c>
      <c r="M43" s="26">
        <f t="shared" si="0"/>
        <v>13253.820750000001</v>
      </c>
      <c r="N43" s="26">
        <f t="shared" si="0"/>
        <v>13253.820750000001</v>
      </c>
      <c r="O43" s="26">
        <f t="shared" si="0"/>
        <v>13253.820750000001</v>
      </c>
      <c r="P43" s="26">
        <f t="shared" si="0"/>
        <v>13253.820750000001</v>
      </c>
      <c r="Q43" s="26">
        <f t="shared" si="0"/>
        <v>0</v>
      </c>
      <c r="R43" s="26">
        <f t="shared" si="0"/>
        <v>13253.820750000001</v>
      </c>
      <c r="S43" s="26">
        <f t="shared" si="0"/>
        <v>0</v>
      </c>
      <c r="T43" s="26">
        <f t="shared" si="0"/>
        <v>13253.820750000001</v>
      </c>
      <c r="U43" s="26">
        <f t="shared" si="0"/>
        <v>13253.820750000001</v>
      </c>
      <c r="V43" s="26">
        <f t="shared" si="0"/>
        <v>13253.820750000001</v>
      </c>
      <c r="W43" s="26">
        <f t="shared" si="0"/>
        <v>0</v>
      </c>
      <c r="X43" s="26">
        <f t="shared" si="0"/>
        <v>0</v>
      </c>
      <c r="Y43" s="26">
        <f t="shared" si="0"/>
        <v>0</v>
      </c>
      <c r="Z43" s="26">
        <f t="shared" si="0"/>
        <v>13253.820750000001</v>
      </c>
      <c r="AA43" s="26">
        <f t="shared" si="0"/>
        <v>0</v>
      </c>
      <c r="AB43" s="26">
        <f t="shared" si="0"/>
        <v>0</v>
      </c>
    </row>
    <row r="44" spans="1:28" ht="11.25" customHeight="1" x14ac:dyDescent="0.25">
      <c r="K44" s="31" t="s">
        <v>305</v>
      </c>
      <c r="L44" s="26">
        <f>CUSTOS!$D$30</f>
        <v>0</v>
      </c>
      <c r="M44" s="26">
        <f>CUSTOS!$D$31</f>
        <v>0</v>
      </c>
      <c r="N44" s="26">
        <f>CUSTOS!$D$32</f>
        <v>0</v>
      </c>
      <c r="O44" s="26">
        <f>CUSTOS!$D$33</f>
        <v>0</v>
      </c>
      <c r="P44" s="26">
        <f>CUSTOS!$D$34</f>
        <v>0</v>
      </c>
      <c r="Q44" s="26">
        <f>CUSTOS!$D$35</f>
        <v>0</v>
      </c>
      <c r="R44" s="26">
        <f>CUSTOS!$D$36</f>
        <v>2671968.4028430749</v>
      </c>
      <c r="S44" s="26">
        <f>CUSTOS!$D$37</f>
        <v>2671968.4028430749</v>
      </c>
      <c r="T44" s="26">
        <f>CUSTOS!$D$38</f>
        <v>0</v>
      </c>
      <c r="U44" s="26">
        <f>CUSTOS!$D$39</f>
        <v>0</v>
      </c>
      <c r="V44" s="26">
        <f>CUSTOS!$D$40</f>
        <v>0</v>
      </c>
      <c r="W44" s="26">
        <f>CUSTOS!$D$41</f>
        <v>0</v>
      </c>
      <c r="X44" s="26">
        <f>CUSTOS!$D$42</f>
        <v>0</v>
      </c>
      <c r="Y44" s="26">
        <f>CUSTOS!$D$43</f>
        <v>0</v>
      </c>
      <c r="Z44" s="26">
        <f>CUSTOS!$D$44</f>
        <v>0</v>
      </c>
      <c r="AA44" s="26">
        <f>CUSTOS!$D$45</f>
        <v>0</v>
      </c>
      <c r="AB44" s="26">
        <f>CUSTOS!$D$46</f>
        <v>2671968.4028430749</v>
      </c>
    </row>
    <row r="45" spans="1:28" ht="11.25" customHeight="1" x14ac:dyDescent="0.25">
      <c r="K45" s="31" t="s">
        <v>306</v>
      </c>
      <c r="L45" s="26">
        <f>CUSTOS!$E$30</f>
        <v>0</v>
      </c>
      <c r="M45" s="26">
        <f>CUSTOS!$E$31</f>
        <v>0</v>
      </c>
      <c r="N45" s="26">
        <f>CUSTOS!$E$32</f>
        <v>0</v>
      </c>
      <c r="O45" s="26">
        <f>CUSTOS!$E$33</f>
        <v>0</v>
      </c>
      <c r="P45" s="26">
        <f>CUSTOS!$E$34</f>
        <v>0</v>
      </c>
      <c r="Q45" s="26">
        <f>CUSTOS!$E$35</f>
        <v>0</v>
      </c>
      <c r="R45" s="26">
        <f>CUSTOS!$E$36</f>
        <v>-125900.21720948769</v>
      </c>
      <c r="S45" s="26">
        <f>CUSTOS!$E$37</f>
        <v>-125900.21720948769</v>
      </c>
      <c r="T45" s="26">
        <f>CUSTOS!$E$38</f>
        <v>0</v>
      </c>
      <c r="U45" s="26">
        <f>CUSTOS!$E$39</f>
        <v>0</v>
      </c>
      <c r="V45" s="26">
        <f>CUSTOS!$E$40</f>
        <v>0</v>
      </c>
      <c r="W45" s="26">
        <f>CUSTOS!$E$41</f>
        <v>0</v>
      </c>
      <c r="X45" s="26">
        <f>CUSTOS!$E$42</f>
        <v>0</v>
      </c>
      <c r="Y45" s="26">
        <f>CUSTOS!$E$43</f>
        <v>0</v>
      </c>
      <c r="Z45" s="26">
        <f>CUSTOS!$E$44</f>
        <v>0</v>
      </c>
      <c r="AA45" s="26">
        <f>CUSTOS!$E$45</f>
        <v>0</v>
      </c>
      <c r="AB45" s="26">
        <f>CUSTOS!$E$46</f>
        <v>-125900.21720948769</v>
      </c>
    </row>
    <row r="46" spans="1:28" ht="11.25" customHeight="1" x14ac:dyDescent="0.25">
      <c r="K46" s="31" t="s">
        <v>307</v>
      </c>
      <c r="L46" s="26">
        <f>CUSTOS!$F$30</f>
        <v>0</v>
      </c>
      <c r="M46" s="26">
        <f>CUSTOS!$F$31</f>
        <v>0</v>
      </c>
      <c r="N46" s="26">
        <f>CUSTOS!$F$32</f>
        <v>0</v>
      </c>
      <c r="O46" s="26">
        <f>CUSTOS!$F$33</f>
        <v>0</v>
      </c>
      <c r="P46" s="26">
        <f>CUSTOS!$F$34</f>
        <v>0</v>
      </c>
      <c r="Q46" s="26">
        <f>CUSTOS!$F$35</f>
        <v>0</v>
      </c>
      <c r="R46" s="26">
        <f>CUSTOS!$F$36</f>
        <v>0</v>
      </c>
      <c r="S46" s="26">
        <f>CUSTOS!$F$37</f>
        <v>0</v>
      </c>
      <c r="T46" s="26">
        <f>CUSTOS!$F$38</f>
        <v>0</v>
      </c>
      <c r="U46" s="26">
        <f>CUSTOS!$F$39</f>
        <v>0</v>
      </c>
      <c r="V46" s="26">
        <f>CUSTOS!$F$40</f>
        <v>0</v>
      </c>
      <c r="W46" s="26">
        <f>CUSTOS!$F$41</f>
        <v>0</v>
      </c>
      <c r="X46" s="26">
        <f>CUSTOS!$F$42</f>
        <v>0</v>
      </c>
      <c r="Y46" s="26">
        <f>CUSTOS!$F$43</f>
        <v>0</v>
      </c>
      <c r="Z46" s="26">
        <f>CUSTOS!$F$44</f>
        <v>0</v>
      </c>
      <c r="AA46" s="26">
        <f>CUSTOS!$F$45</f>
        <v>0</v>
      </c>
      <c r="AB46" s="26">
        <f>CUSTOS!$F$46</f>
        <v>0</v>
      </c>
    </row>
    <row r="47" spans="1:28" ht="11.25" customHeight="1" x14ac:dyDescent="0.25">
      <c r="K47" s="31" t="s">
        <v>388</v>
      </c>
      <c r="L47" s="26">
        <f>IF(SUMPRODUCT($I$5:$I$41,$L$5:$L$41)&lt;&gt;0,L44/SUMPRODUCT($I$5:$I$41,$L$5:$L$41),0)</f>
        <v>0</v>
      </c>
      <c r="M47" s="26">
        <f>IF(SUMPRODUCT($I$5:$I$41,$M$5:$M$41)&lt;&gt;0,M44/SUMPRODUCT($I$5:$I$41,$M$5:$M$41),0)</f>
        <v>0</v>
      </c>
      <c r="N47" s="26">
        <f>IF(SUMPRODUCT($I$5:$I$41,$N$5:$N$41)&lt;&gt;0,N44/SUMPRODUCT($I$5:$I$41,$N$5:$N$41),0)</f>
        <v>0</v>
      </c>
      <c r="O47" s="26">
        <f>IF(SUMPRODUCT($I$5:$I$41,$O$5:$O$41)&lt;&gt;0,O44/SUMPRODUCT($I$5:$I$41,$O$5:$O$41),0)</f>
        <v>0</v>
      </c>
      <c r="P47" s="26">
        <f>IF(SUMPRODUCT($I$5:$I$41,$P$5:$P$41)&lt;&gt;0,P44/SUMPRODUCT($I$5:$I$41,$P$5:$P$41),0)</f>
        <v>0</v>
      </c>
      <c r="Q47" s="26"/>
      <c r="R47" s="26">
        <f>IF((CUSTOS!$M$12-CUSTOS!$M$13)&lt;&gt;0,(CUSTOS!$M$12*CUSTOS!$M$14)/(CUSTOS!$M$12-CUSTOS!$M$13),0)</f>
        <v>203.48</v>
      </c>
      <c r="S47" s="26"/>
      <c r="T47" s="26">
        <f>IF(SUMPRODUCT($I$5:$I$41,$T$5:$T$41)&lt;&gt;0,T44/SUMPRODUCT($I$5:$I$41,$T$5:$T$41),0)</f>
        <v>0</v>
      </c>
      <c r="U47" s="26">
        <f>IF(SUMPRODUCT($I$5:$I$41,$U$5:$U$41)&lt;&gt;0,U44/SUMPRODUCT($I$5:$I$41,$U$5:$U$41),0)</f>
        <v>0</v>
      </c>
      <c r="V47" s="26">
        <f>IF(SUMPRODUCT($I$5:$I$41,$V$5:$V$41)&lt;&gt;0,V44/SUMPRODUCT($I$5:$I$41,$V$5:$V$41),0)</f>
        <v>0</v>
      </c>
      <c r="W47" s="26"/>
      <c r="X47" s="26">
        <f>IF(SUMPRODUCT($I$5:$I$41,$X$5:$X$41)&lt;&gt;0,X44/SUMPRODUCT($I$5:$I$41,$X$5:$X$41),0)</f>
        <v>0</v>
      </c>
      <c r="Y47" s="26"/>
      <c r="Z47" s="26">
        <f>IF(SUMPRODUCT($I$5:$I$41,$Z$5:$Z$41)&lt;&gt;0,Z44/SUMPRODUCT($I$5:$I$41,$Z$5:$Z$41),0)</f>
        <v>0</v>
      </c>
      <c r="AA47" s="26"/>
      <c r="AB47" s="26"/>
    </row>
    <row r="48" spans="1:28" ht="11.25" customHeight="1" x14ac:dyDescent="0.25">
      <c r="K48" s="31" t="s">
        <v>389</v>
      </c>
      <c r="L48" s="26">
        <f>IF(L43&lt;&gt;0,(L44-L47*0)/(L43-0),0)</f>
        <v>0</v>
      </c>
      <c r="M48" s="26">
        <f>IF(M43&lt;&gt;0,(M44-M47*0)/(M43-0),0)</f>
        <v>0</v>
      </c>
      <c r="N48" s="26">
        <f>IF(N43&lt;&gt;0,(N44-N47*0)/(N43-0),0)</f>
        <v>0</v>
      </c>
      <c r="O48" s="26">
        <f>IF(O43&lt;&gt;0,(O44-O47*0)/(O43-0),0)</f>
        <v>0</v>
      </c>
      <c r="P48" s="26">
        <f>IF(P43&lt;&gt;0,(P44-P47*0)/(P43-0),0)</f>
        <v>0</v>
      </c>
      <c r="Q48" s="26"/>
      <c r="R48" s="26">
        <f>IF(R43&lt;&gt;0,(R44-R47*0)/(R43-0),0)</f>
        <v>201.59985963617885</v>
      </c>
      <c r="S48" s="26"/>
      <c r="T48" s="26">
        <f>IF(T43&lt;&gt;0,(T44-T47*0)/(T43-0),0)</f>
        <v>0</v>
      </c>
      <c r="U48" s="26">
        <f>IF(U43&lt;&gt;0,(U44-U47*0)/(U43-0),0)</f>
        <v>0</v>
      </c>
      <c r="V48" s="26">
        <f>IF(V43&lt;&gt;0,(V44-V47*0)/(V43-0),0)</f>
        <v>0</v>
      </c>
      <c r="W48" s="26"/>
      <c r="X48" s="26">
        <f>IF(X43&lt;&gt;0,(X44-X47*0)/(X43-0),0)</f>
        <v>0</v>
      </c>
      <c r="Y48" s="26"/>
      <c r="Z48" s="26">
        <f>IF(Z43&lt;&gt;0,(Z44-Z47*0)/(Z43-0),0)</f>
        <v>0</v>
      </c>
      <c r="AA48" s="26"/>
      <c r="AB48" s="26"/>
    </row>
    <row r="49" spans="11:28" ht="11.25" customHeight="1" x14ac:dyDescent="0.25">
      <c r="K49" s="31" t="s">
        <v>390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</sheetData>
  <mergeCells count="61">
    <mergeCell ref="F5:F6"/>
    <mergeCell ref="A5:A6"/>
    <mergeCell ref="B5:B6"/>
    <mergeCell ref="C5:C6"/>
    <mergeCell ref="D5:D6"/>
    <mergeCell ref="E5:E6"/>
    <mergeCell ref="F7:F9"/>
    <mergeCell ref="B10:B14"/>
    <mergeCell ref="C10:C14"/>
    <mergeCell ref="B15:B19"/>
    <mergeCell ref="C15:C19"/>
    <mergeCell ref="A7:A19"/>
    <mergeCell ref="B7:B9"/>
    <mergeCell ref="C7:C9"/>
    <mergeCell ref="D7:D9"/>
    <mergeCell ref="E7:E9"/>
    <mergeCell ref="E28:E30"/>
    <mergeCell ref="F28:F30"/>
    <mergeCell ref="A20:A34"/>
    <mergeCell ref="B20:B22"/>
    <mergeCell ref="C20:C22"/>
    <mergeCell ref="D20:D22"/>
    <mergeCell ref="E20:E22"/>
    <mergeCell ref="F20:F22"/>
    <mergeCell ref="B24:B26"/>
    <mergeCell ref="C24:C26"/>
    <mergeCell ref="D24:D26"/>
    <mergeCell ref="E24:E26"/>
    <mergeCell ref="F1:F4"/>
    <mergeCell ref="E35:E37"/>
    <mergeCell ref="F35:F37"/>
    <mergeCell ref="A40:A41"/>
    <mergeCell ref="B40:B41"/>
    <mergeCell ref="C40:C41"/>
    <mergeCell ref="B32:B34"/>
    <mergeCell ref="C32:C34"/>
    <mergeCell ref="A35:A39"/>
    <mergeCell ref="B35:B37"/>
    <mergeCell ref="C35:C37"/>
    <mergeCell ref="D35:D37"/>
    <mergeCell ref="F24:F26"/>
    <mergeCell ref="B28:B30"/>
    <mergeCell ref="C28:C30"/>
    <mergeCell ref="D28:D30"/>
    <mergeCell ref="A1:A4"/>
    <mergeCell ref="B1:B4"/>
    <mergeCell ref="C1:C4"/>
    <mergeCell ref="D1:D4"/>
    <mergeCell ref="E1:E4"/>
    <mergeCell ref="Z3:AA3"/>
    <mergeCell ref="AB3:AB4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71AF-EBDB-406E-AFD7-4B2E2CC1F3DF}">
  <sheetPr codeName="Planilha13"/>
  <dimension ref="A1:AB49"/>
  <sheetViews>
    <sheetView showGridLines="0" topLeftCell="L25" workbookViewId="0">
      <selection activeCell="AB43" sqref="AB43"/>
    </sheetView>
  </sheetViews>
  <sheetFormatPr defaultColWidth="9.140625"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113" t="s">
        <v>49</v>
      </c>
      <c r="B1" s="113" t="s">
        <v>50</v>
      </c>
      <c r="C1" s="113" t="s">
        <v>51</v>
      </c>
      <c r="D1" s="113" t="s">
        <v>52</v>
      </c>
      <c r="E1" s="113" t="s">
        <v>53</v>
      </c>
      <c r="F1" s="113" t="s">
        <v>15</v>
      </c>
      <c r="G1" s="113" t="s">
        <v>55</v>
      </c>
      <c r="H1" s="113" t="s">
        <v>56</v>
      </c>
      <c r="I1" s="113" t="s">
        <v>365</v>
      </c>
      <c r="J1" s="96"/>
      <c r="L1" s="111" t="s">
        <v>391</v>
      </c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</row>
    <row r="2" spans="1:28" ht="11.2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96"/>
      <c r="L2" s="111" t="s">
        <v>291</v>
      </c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1:28" ht="11.2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96"/>
      <c r="L3" s="111" t="s">
        <v>264</v>
      </c>
      <c r="M3" s="111"/>
      <c r="N3" s="111"/>
      <c r="O3" s="111"/>
      <c r="P3" s="111"/>
      <c r="Q3" s="111"/>
      <c r="R3" s="111" t="s">
        <v>295</v>
      </c>
      <c r="S3" s="111"/>
      <c r="T3" s="111" t="s">
        <v>273</v>
      </c>
      <c r="U3" s="111"/>
      <c r="V3" s="111"/>
      <c r="W3" s="111"/>
      <c r="X3" s="111" t="s">
        <v>283</v>
      </c>
      <c r="Y3" s="111"/>
      <c r="Z3" s="111" t="s">
        <v>286</v>
      </c>
      <c r="AA3" s="111"/>
      <c r="AB3" s="111" t="s">
        <v>272</v>
      </c>
    </row>
    <row r="4" spans="1:28" ht="11.2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96"/>
      <c r="L4" s="30" t="s">
        <v>266</v>
      </c>
      <c r="M4" s="30" t="s">
        <v>292</v>
      </c>
      <c r="N4" s="30" t="s">
        <v>293</v>
      </c>
      <c r="O4" s="30" t="s">
        <v>353</v>
      </c>
      <c r="P4" s="30" t="s">
        <v>294</v>
      </c>
      <c r="Q4" s="30" t="s">
        <v>272</v>
      </c>
      <c r="R4" s="30" t="s">
        <v>296</v>
      </c>
      <c r="S4" s="30" t="s">
        <v>272</v>
      </c>
      <c r="T4" s="30" t="s">
        <v>297</v>
      </c>
      <c r="U4" s="30" t="s">
        <v>298</v>
      </c>
      <c r="V4" s="30" t="s">
        <v>299</v>
      </c>
      <c r="W4" s="30" t="s">
        <v>272</v>
      </c>
      <c r="X4" s="30" t="s">
        <v>284</v>
      </c>
      <c r="Y4" s="30" t="s">
        <v>272</v>
      </c>
      <c r="Z4" s="30" t="s">
        <v>300</v>
      </c>
      <c r="AA4" s="30" t="s">
        <v>272</v>
      </c>
      <c r="AB4" s="112"/>
    </row>
    <row r="5" spans="1:28" ht="11.25" customHeight="1" x14ac:dyDescent="0.25">
      <c r="A5" s="114" t="s">
        <v>58</v>
      </c>
      <c r="B5" s="114" t="s">
        <v>59</v>
      </c>
      <c r="C5" s="114" t="s">
        <v>25</v>
      </c>
      <c r="D5" s="114" t="s">
        <v>25</v>
      </c>
      <c r="E5" s="114" t="s">
        <v>25</v>
      </c>
      <c r="F5" s="114" t="s">
        <v>25</v>
      </c>
      <c r="G5" s="29" t="s">
        <v>61</v>
      </c>
      <c r="H5" s="29" t="s">
        <v>60</v>
      </c>
      <c r="I5" s="29">
        <f>'MERCADO TE'!$U$2</f>
        <v>0</v>
      </c>
      <c r="J5" s="15"/>
      <c r="L5" s="26">
        <f>'TR TE'!$L$5*'TR TE'!$L$48</f>
        <v>0</v>
      </c>
      <c r="M5" s="26">
        <f>'TR TE'!$M$5*'TR TE'!$M$48</f>
        <v>0</v>
      </c>
      <c r="N5" s="26">
        <f>'TR TE'!$N$5*'TR TE'!$N$48</f>
        <v>0</v>
      </c>
      <c r="O5" s="26">
        <f>'TR TE'!$O$5*'TR TE'!$O$48</f>
        <v>0</v>
      </c>
      <c r="P5" s="26">
        <f>'TR TE'!$P$5*'TR TE'!$P$48</f>
        <v>0</v>
      </c>
      <c r="Q5" s="26">
        <f>SUM($L$5:$P$5)</f>
        <v>0</v>
      </c>
      <c r="R5" s="26">
        <f>'TR TE'!$R$5*'TR TE'!$R$48</f>
        <v>201.59985963617885</v>
      </c>
      <c r="S5" s="26">
        <f>SUM($R$5:$R$5)</f>
        <v>201.59985963617885</v>
      </c>
      <c r="T5" s="26">
        <f>'TR TE'!$T$5*'TR TE'!$T$48</f>
        <v>0</v>
      </c>
      <c r="U5" s="26">
        <f>'TR TE'!$U$5*'TR TE'!$U$48</f>
        <v>0</v>
      </c>
      <c r="V5" s="26">
        <f>'TR TE'!$V$5*'TR TE'!$V$48</f>
        <v>0</v>
      </c>
      <c r="W5" s="26">
        <f>SUM($T$5:$V$5)</f>
        <v>0</v>
      </c>
      <c r="X5" s="26"/>
      <c r="Y5" s="26">
        <f>SUM($X$5:$X$5)</f>
        <v>0</v>
      </c>
      <c r="Z5" s="26">
        <f>'TR TE'!$Z$5*'TR TE'!$Z$48</f>
        <v>0</v>
      </c>
      <c r="AA5" s="26">
        <f>SUM($Z$5:$Z$5)</f>
        <v>0</v>
      </c>
      <c r="AB5" s="26">
        <f>SUMIF($L$4:$AA$4,"SUBTOTAL",$L$5:$AA$5)</f>
        <v>201.59985963617885</v>
      </c>
    </row>
    <row r="6" spans="1:28" ht="11.25" customHeight="1" x14ac:dyDescent="0.25">
      <c r="A6" s="114"/>
      <c r="B6" s="114"/>
      <c r="C6" s="114"/>
      <c r="D6" s="114"/>
      <c r="E6" s="114"/>
      <c r="F6" s="114"/>
      <c r="G6" s="29" t="s">
        <v>62</v>
      </c>
      <c r="H6" s="29" t="s">
        <v>60</v>
      </c>
      <c r="I6" s="29">
        <f>'MERCADO TE'!$U$3</f>
        <v>0</v>
      </c>
      <c r="J6" s="15"/>
      <c r="L6" s="26">
        <f>'TR TE'!$L$6*'TR TE'!$L$48</f>
        <v>0</v>
      </c>
      <c r="M6" s="26">
        <f>'TR TE'!$M$6*'TR TE'!$M$48</f>
        <v>0</v>
      </c>
      <c r="N6" s="26">
        <f>'TR TE'!$N$6*'TR TE'!$N$48</f>
        <v>0</v>
      </c>
      <c r="O6" s="26">
        <f>'TR TE'!$O$6*'TR TE'!$O$48</f>
        <v>0</v>
      </c>
      <c r="P6" s="26">
        <f>'TR TE'!$P$6*'TR TE'!$P$48</f>
        <v>0</v>
      </c>
      <c r="Q6" s="26">
        <f>SUM($L$6:$P$6)</f>
        <v>0</v>
      </c>
      <c r="R6" s="26">
        <f>'TR TE'!$R$6*'TR TE'!$R$48</f>
        <v>201.59985963617885</v>
      </c>
      <c r="S6" s="26">
        <f>SUM($R$6:$R$6)</f>
        <v>201.59985963617885</v>
      </c>
      <c r="T6" s="26">
        <f>'TR TE'!$T$6*'TR TE'!$T$48</f>
        <v>0</v>
      </c>
      <c r="U6" s="26">
        <f>'TR TE'!$U$6*'TR TE'!$U$48</f>
        <v>0</v>
      </c>
      <c r="V6" s="26">
        <f>'TR TE'!$V$6*'TR TE'!$V$48</f>
        <v>0</v>
      </c>
      <c r="W6" s="26">
        <f>SUM($T$6:$V$6)</f>
        <v>0</v>
      </c>
      <c r="X6" s="26"/>
      <c r="Y6" s="26">
        <f>SUM($X$6:$X$6)</f>
        <v>0</v>
      </c>
      <c r="Z6" s="26">
        <f>'TR TE'!$Z$6*'TR TE'!$Z$48</f>
        <v>0</v>
      </c>
      <c r="AA6" s="26">
        <f>SUM($Z$6:$Z$6)</f>
        <v>0</v>
      </c>
      <c r="AB6" s="26">
        <f>SUMIF($L$4:$AA$4,"SUBTOTAL",$L$6:$AA$6)</f>
        <v>201.59985963617885</v>
      </c>
    </row>
    <row r="7" spans="1:28" ht="11.25" customHeight="1" x14ac:dyDescent="0.25">
      <c r="A7" s="114" t="s">
        <v>22</v>
      </c>
      <c r="B7" s="114" t="s">
        <v>59</v>
      </c>
      <c r="C7" s="114" t="s">
        <v>24</v>
      </c>
      <c r="D7" s="114" t="s">
        <v>24</v>
      </c>
      <c r="E7" s="114" t="s">
        <v>25</v>
      </c>
      <c r="F7" s="114" t="s">
        <v>25</v>
      </c>
      <c r="G7" s="29" t="s">
        <v>61</v>
      </c>
      <c r="H7" s="29" t="s">
        <v>60</v>
      </c>
      <c r="I7" s="29">
        <f>'MERCADO TE'!$U$4</f>
        <v>0</v>
      </c>
      <c r="J7" s="15"/>
      <c r="L7" s="26">
        <f>'TR TE'!$L$7*'TR TE'!$L$48</f>
        <v>0</v>
      </c>
      <c r="M7" s="26">
        <f>'TR TE'!$M$7*'TR TE'!$M$48</f>
        <v>0</v>
      </c>
      <c r="N7" s="26">
        <f>'TR TE'!$N$7*'TR TE'!$N$48</f>
        <v>0</v>
      </c>
      <c r="O7" s="26">
        <f>'TR TE'!$O$7*'TR TE'!$O$48</f>
        <v>0</v>
      </c>
      <c r="P7" s="26">
        <f>'TR TE'!$P$7*'TR TE'!$P$48</f>
        <v>0</v>
      </c>
      <c r="Q7" s="26">
        <f>SUM($L$7:$P$7)</f>
        <v>0</v>
      </c>
      <c r="R7" s="26">
        <f>'TR TE'!$R$7*'TR TE'!$R$48</f>
        <v>201.59985963617885</v>
      </c>
      <c r="S7" s="26">
        <f>SUM($R$7:$R$7)</f>
        <v>201.59985963617885</v>
      </c>
      <c r="T7" s="26">
        <f>'TR TE'!$T$7*'TR TE'!$T$48</f>
        <v>0</v>
      </c>
      <c r="U7" s="26">
        <f>'TR TE'!$U$7*'TR TE'!$U$48</f>
        <v>0</v>
      </c>
      <c r="V7" s="26">
        <f>'TR TE'!$V$7*'TR TE'!$V$48</f>
        <v>0</v>
      </c>
      <c r="W7" s="26">
        <f>SUM($T$7:$V$7)</f>
        <v>0</v>
      </c>
      <c r="X7" s="26"/>
      <c r="Y7" s="26">
        <f>SUM($X$7:$X$7)</f>
        <v>0</v>
      </c>
      <c r="Z7" s="26">
        <f>'TR TE'!$Z$7*'TR TE'!$Z$48</f>
        <v>0</v>
      </c>
      <c r="AA7" s="26">
        <f>SUM($Z$7:$Z$7)</f>
        <v>0</v>
      </c>
      <c r="AB7" s="26">
        <f>SUMIF($L$4:$AA$4,"SUBTOTAL",$L$7:$AA$7)</f>
        <v>201.59985963617885</v>
      </c>
    </row>
    <row r="8" spans="1:28" ht="11.25" customHeight="1" x14ac:dyDescent="0.25">
      <c r="A8" s="114"/>
      <c r="B8" s="114"/>
      <c r="C8" s="114"/>
      <c r="D8" s="114"/>
      <c r="E8" s="114"/>
      <c r="F8" s="114"/>
      <c r="G8" s="29" t="s">
        <v>74</v>
      </c>
      <c r="H8" s="29" t="s">
        <v>60</v>
      </c>
      <c r="I8" s="29">
        <f>'MERCADO TE'!$U$5</f>
        <v>0</v>
      </c>
      <c r="J8" s="15"/>
      <c r="L8" s="26">
        <f>'TR TE'!$L$8*'TR TE'!$L$48</f>
        <v>0</v>
      </c>
      <c r="M8" s="26">
        <f>'TR TE'!$M$8*'TR TE'!$M$48</f>
        <v>0</v>
      </c>
      <c r="N8" s="26">
        <f>'TR TE'!$N$8*'TR TE'!$N$48</f>
        <v>0</v>
      </c>
      <c r="O8" s="26">
        <f>'TR TE'!$O$8*'TR TE'!$O$48</f>
        <v>0</v>
      </c>
      <c r="P8" s="26">
        <f>'TR TE'!$P$8*'TR TE'!$P$48</f>
        <v>0</v>
      </c>
      <c r="Q8" s="26">
        <f>SUM($L$8:$P$8)</f>
        <v>0</v>
      </c>
      <c r="R8" s="26">
        <f>'TR TE'!$R$8*'TR TE'!$R$48</f>
        <v>201.59985963617885</v>
      </c>
      <c r="S8" s="26">
        <f>SUM($R$8:$R$8)</f>
        <v>201.59985963617885</v>
      </c>
      <c r="T8" s="26">
        <f>'TR TE'!$T$8*'TR TE'!$T$48</f>
        <v>0</v>
      </c>
      <c r="U8" s="26">
        <f>'TR TE'!$U$8*'TR TE'!$U$48</f>
        <v>0</v>
      </c>
      <c r="V8" s="26">
        <f>'TR TE'!$V$8*'TR TE'!$V$48</f>
        <v>0</v>
      </c>
      <c r="W8" s="26">
        <f>SUM($T$8:$V$8)</f>
        <v>0</v>
      </c>
      <c r="X8" s="26"/>
      <c r="Y8" s="26">
        <f>SUM($X$8:$X$8)</f>
        <v>0</v>
      </c>
      <c r="Z8" s="26">
        <f>'TR TE'!$Z$8*'TR TE'!$Z$48</f>
        <v>0</v>
      </c>
      <c r="AA8" s="26">
        <f>SUM($Z$8:$Z$8)</f>
        <v>0</v>
      </c>
      <c r="AB8" s="26">
        <f>SUMIF($L$4:$AA$4,"SUBTOTAL",$L$8:$AA$8)</f>
        <v>201.59985963617885</v>
      </c>
    </row>
    <row r="9" spans="1:28" ht="11.25" customHeight="1" x14ac:dyDescent="0.25">
      <c r="A9" s="114"/>
      <c r="B9" s="114"/>
      <c r="C9" s="114"/>
      <c r="D9" s="114"/>
      <c r="E9" s="114"/>
      <c r="F9" s="114"/>
      <c r="G9" s="29" t="s">
        <v>62</v>
      </c>
      <c r="H9" s="29" t="s">
        <v>60</v>
      </c>
      <c r="I9" s="29">
        <f>'MERCADO TE'!$U$6</f>
        <v>0</v>
      </c>
      <c r="J9" s="15"/>
      <c r="L9" s="26">
        <f>'TR TE'!$L$9*'TR TE'!$L$48</f>
        <v>0</v>
      </c>
      <c r="M9" s="26">
        <f>'TR TE'!$M$9*'TR TE'!$M$48</f>
        <v>0</v>
      </c>
      <c r="N9" s="26">
        <f>'TR TE'!$N$9*'TR TE'!$N$48</f>
        <v>0</v>
      </c>
      <c r="O9" s="26">
        <f>'TR TE'!$O$9*'TR TE'!$O$48</f>
        <v>0</v>
      </c>
      <c r="P9" s="26">
        <f>'TR TE'!$P$9*'TR TE'!$P$48</f>
        <v>0</v>
      </c>
      <c r="Q9" s="26">
        <f>SUM($L$9:$P$9)</f>
        <v>0</v>
      </c>
      <c r="R9" s="26">
        <f>'TR TE'!$R$9*'TR TE'!$R$48</f>
        <v>201.59985963617885</v>
      </c>
      <c r="S9" s="26">
        <f>SUM($R$9:$R$9)</f>
        <v>201.59985963617885</v>
      </c>
      <c r="T9" s="26">
        <f>'TR TE'!$T$9*'TR TE'!$T$48</f>
        <v>0</v>
      </c>
      <c r="U9" s="26">
        <f>'TR TE'!$U$9*'TR TE'!$U$48</f>
        <v>0</v>
      </c>
      <c r="V9" s="26">
        <f>'TR TE'!$V$9*'TR TE'!$V$48</f>
        <v>0</v>
      </c>
      <c r="W9" s="26">
        <f>SUM($T$9:$V$9)</f>
        <v>0</v>
      </c>
      <c r="X9" s="26"/>
      <c r="Y9" s="26">
        <f>SUM($X$9:$X$9)</f>
        <v>0</v>
      </c>
      <c r="Z9" s="26">
        <f>'TR TE'!$Z$9*'TR TE'!$Z$48</f>
        <v>0</v>
      </c>
      <c r="AA9" s="26">
        <f>SUM($Z$9:$Z$9)</f>
        <v>0</v>
      </c>
      <c r="AB9" s="26">
        <f>SUMIF($L$4:$AA$4,"SUBTOTAL",$L$9:$AA$9)</f>
        <v>201.59985963617885</v>
      </c>
    </row>
    <row r="10" spans="1:28" ht="11.25" customHeight="1" x14ac:dyDescent="0.25">
      <c r="A10" s="114"/>
      <c r="B10" s="114" t="s">
        <v>75</v>
      </c>
      <c r="C10" s="114" t="s">
        <v>24</v>
      </c>
      <c r="D10" s="28" t="s">
        <v>24</v>
      </c>
      <c r="E10" s="28" t="s">
        <v>25</v>
      </c>
      <c r="F10" s="28" t="s">
        <v>25</v>
      </c>
      <c r="G10" s="29" t="s">
        <v>67</v>
      </c>
      <c r="H10" s="29" t="s">
        <v>60</v>
      </c>
      <c r="I10" s="29">
        <f>'MERCADO TE'!$U$7</f>
        <v>3454.3520000000003</v>
      </c>
      <c r="J10" s="15"/>
      <c r="L10" s="26">
        <f>'TR TE'!$L$10*'TR TE'!$L$48</f>
        <v>0</v>
      </c>
      <c r="M10" s="26">
        <f>'TR TE'!$M$10*'TR TE'!$M$48</f>
        <v>0</v>
      </c>
      <c r="N10" s="26">
        <f>'TR TE'!$N$10*'TR TE'!$N$48</f>
        <v>0</v>
      </c>
      <c r="O10" s="26">
        <f>'TR TE'!$O$10*'TR TE'!$O$48</f>
        <v>0</v>
      </c>
      <c r="P10" s="26">
        <f>'TR TE'!$P$10*'TR TE'!$P$48</f>
        <v>0</v>
      </c>
      <c r="Q10" s="26">
        <f>SUM($L$10:$P$10)</f>
        <v>0</v>
      </c>
      <c r="R10" s="26">
        <f>'TR TE'!$R$10*'TR TE'!$R$48</f>
        <v>201.59985963617885</v>
      </c>
      <c r="S10" s="26">
        <f>SUM($R$10:$R$10)</f>
        <v>201.59985963617885</v>
      </c>
      <c r="T10" s="26">
        <f>'TR TE'!$T$10*'TR TE'!$T$48</f>
        <v>0</v>
      </c>
      <c r="U10" s="26">
        <f>'TR TE'!$U$10*'TR TE'!$U$48</f>
        <v>0</v>
      </c>
      <c r="V10" s="26">
        <f>'TR TE'!$V$10*'TR TE'!$V$48</f>
        <v>0</v>
      </c>
      <c r="W10" s="26">
        <f>SUM($T$10:$V$10)</f>
        <v>0</v>
      </c>
      <c r="X10" s="26"/>
      <c r="Y10" s="26">
        <f>SUM($X$10:$X$10)</f>
        <v>0</v>
      </c>
      <c r="Z10" s="26">
        <f>'TR TE'!$Z$10*'TR TE'!$Z$48</f>
        <v>0</v>
      </c>
      <c r="AA10" s="26">
        <f>SUM($Z$10:$Z$10)</f>
        <v>0</v>
      </c>
      <c r="AB10" s="26">
        <f>SUMIF($L$4:$AA$4,"SUBTOTAL",$L$10:$AA$10)</f>
        <v>201.59985963617885</v>
      </c>
    </row>
    <row r="11" spans="1:28" ht="11.25" customHeight="1" x14ac:dyDescent="0.25">
      <c r="A11" s="114"/>
      <c r="B11" s="114"/>
      <c r="C11" s="114"/>
      <c r="D11" s="28" t="s">
        <v>41</v>
      </c>
      <c r="E11" s="28" t="s">
        <v>25</v>
      </c>
      <c r="F11" s="28" t="s">
        <v>25</v>
      </c>
      <c r="G11" s="29" t="s">
        <v>67</v>
      </c>
      <c r="H11" s="29" t="s">
        <v>60</v>
      </c>
      <c r="I11" s="29">
        <f>'MERCADO TE'!$U$8</f>
        <v>0.48000000000000009</v>
      </c>
      <c r="J11" s="15"/>
      <c r="L11" s="26">
        <f>'TR TE'!$L$11*'TR TE'!$L$48</f>
        <v>0</v>
      </c>
      <c r="M11" s="26">
        <f>'TR TE'!$M$11*'TR TE'!$M$48</f>
        <v>0</v>
      </c>
      <c r="N11" s="26">
        <f>'TR TE'!$N$11*'TR TE'!$N$48</f>
        <v>0</v>
      </c>
      <c r="O11" s="26">
        <f>'TR TE'!$O$11*'TR TE'!$O$48</f>
        <v>0</v>
      </c>
      <c r="P11" s="26">
        <f>'TR TE'!$P$11*'TR TE'!$P$48</f>
        <v>0</v>
      </c>
      <c r="Q11" s="26">
        <f>SUM($L$11:$P$11)</f>
        <v>0</v>
      </c>
      <c r="R11" s="26">
        <f>'TR TE'!$R$11*'TR TE'!$R$48</f>
        <v>201.59985963617885</v>
      </c>
      <c r="S11" s="26">
        <f>SUM($R$11:$R$11)</f>
        <v>201.59985963617885</v>
      </c>
      <c r="T11" s="26">
        <f>'TR TE'!$T$11*'TR TE'!$T$48</f>
        <v>0</v>
      </c>
      <c r="U11" s="26">
        <f>'TR TE'!$U$11*'TR TE'!$U$48</f>
        <v>0</v>
      </c>
      <c r="V11" s="26">
        <f>'TR TE'!$V$11*'TR TE'!$V$48</f>
        <v>0</v>
      </c>
      <c r="W11" s="26">
        <f>SUM($T$11:$V$11)</f>
        <v>0</v>
      </c>
      <c r="X11" s="26"/>
      <c r="Y11" s="26">
        <f>SUM($X$11:$X$11)</f>
        <v>0</v>
      </c>
      <c r="Z11" s="26">
        <f>'TR TE'!$Z$11*'TR TE'!$Z$48</f>
        <v>0</v>
      </c>
      <c r="AA11" s="26">
        <f>SUM($Z$11:$Z$11)</f>
        <v>0</v>
      </c>
      <c r="AB11" s="26">
        <f>SUMIF($L$4:$AA$4,"SUBTOTAL",$L$11:$AA$11)</f>
        <v>201.59985963617885</v>
      </c>
    </row>
    <row r="12" spans="1:28" ht="11.25" customHeight="1" x14ac:dyDescent="0.25">
      <c r="A12" s="114"/>
      <c r="B12" s="114"/>
      <c r="C12" s="114"/>
      <c r="D12" s="28" t="s">
        <v>42</v>
      </c>
      <c r="E12" s="28" t="s">
        <v>25</v>
      </c>
      <c r="F12" s="28" t="s">
        <v>25</v>
      </c>
      <c r="G12" s="29" t="s">
        <v>67</v>
      </c>
      <c r="H12" s="29" t="s">
        <v>60</v>
      </c>
      <c r="I12" s="29">
        <f>'MERCADO TE'!$U$9</f>
        <v>7.3130000000000006</v>
      </c>
      <c r="J12" s="15"/>
      <c r="L12" s="26">
        <f>'TR TE'!$L$12*'TR TE'!$L$48</f>
        <v>0</v>
      </c>
      <c r="M12" s="26">
        <f>'TR TE'!$M$12*'TR TE'!$M$48</f>
        <v>0</v>
      </c>
      <c r="N12" s="26">
        <f>'TR TE'!$N$12*'TR TE'!$N$48</f>
        <v>0</v>
      </c>
      <c r="O12" s="26">
        <f>'TR TE'!$O$12*'TR TE'!$O$48</f>
        <v>0</v>
      </c>
      <c r="P12" s="26">
        <f>'TR TE'!$P$12*'TR TE'!$P$48</f>
        <v>0</v>
      </c>
      <c r="Q12" s="26">
        <f>SUM($L$12:$P$12)</f>
        <v>0</v>
      </c>
      <c r="R12" s="26">
        <f>'TR TE'!$R$12*'TR TE'!$R$48</f>
        <v>201.59985963617885</v>
      </c>
      <c r="S12" s="26">
        <f>SUM($R$12:$R$12)</f>
        <v>201.59985963617885</v>
      </c>
      <c r="T12" s="26">
        <f>'TR TE'!$T$12*'TR TE'!$T$48</f>
        <v>0</v>
      </c>
      <c r="U12" s="26">
        <f>'TR TE'!$U$12*'TR TE'!$U$48</f>
        <v>0</v>
      </c>
      <c r="V12" s="26">
        <f>'TR TE'!$V$12*'TR TE'!$V$48</f>
        <v>0</v>
      </c>
      <c r="W12" s="26">
        <f>SUM($T$12:$V$12)</f>
        <v>0</v>
      </c>
      <c r="X12" s="26"/>
      <c r="Y12" s="26">
        <f>SUM($X$12:$X$12)</f>
        <v>0</v>
      </c>
      <c r="Z12" s="26">
        <f>'TR TE'!$Z$12*'TR TE'!$Z$48</f>
        <v>0</v>
      </c>
      <c r="AA12" s="26">
        <f>SUM($Z$12:$Z$12)</f>
        <v>0</v>
      </c>
      <c r="AB12" s="26">
        <f>SUMIF($L$4:$AA$4,"SUBTOTAL",$L$12:$AA$12)</f>
        <v>201.59985963617885</v>
      </c>
    </row>
    <row r="13" spans="1:28" ht="11.25" customHeight="1" x14ac:dyDescent="0.25">
      <c r="A13" s="114"/>
      <c r="B13" s="114"/>
      <c r="C13" s="114"/>
      <c r="D13" s="28" t="s">
        <v>39</v>
      </c>
      <c r="E13" s="28" t="s">
        <v>25</v>
      </c>
      <c r="F13" s="28" t="s">
        <v>25</v>
      </c>
      <c r="G13" s="29" t="s">
        <v>67</v>
      </c>
      <c r="H13" s="29" t="s">
        <v>60</v>
      </c>
      <c r="I13" s="29">
        <f>'MERCADO TE'!$U$10</f>
        <v>77.287999999999997</v>
      </c>
      <c r="J13" s="15"/>
      <c r="L13" s="26">
        <f>'TR TE'!$L$13*'TR TE'!$L$48</f>
        <v>0</v>
      </c>
      <c r="M13" s="26">
        <f>'TR TE'!$M$13*'TR TE'!$M$48</f>
        <v>0</v>
      </c>
      <c r="N13" s="26">
        <f>'TR TE'!$N$13*'TR TE'!$N$48</f>
        <v>0</v>
      </c>
      <c r="O13" s="26">
        <f>'TR TE'!$O$13*'TR TE'!$O$48</f>
        <v>0</v>
      </c>
      <c r="P13" s="26">
        <f>'TR TE'!$P$13*'TR TE'!$P$48</f>
        <v>0</v>
      </c>
      <c r="Q13" s="26">
        <f>SUM($L$13:$P$13)</f>
        <v>0</v>
      </c>
      <c r="R13" s="26">
        <f>'TR TE'!$R$13*'TR TE'!$R$48</f>
        <v>201.59985963617885</v>
      </c>
      <c r="S13" s="26">
        <f>SUM($R$13:$R$13)</f>
        <v>201.59985963617885</v>
      </c>
      <c r="T13" s="26">
        <f>'TR TE'!$T$13*'TR TE'!$T$48</f>
        <v>0</v>
      </c>
      <c r="U13" s="26">
        <f>'TR TE'!$U$13*'TR TE'!$U$48</f>
        <v>0</v>
      </c>
      <c r="V13" s="26">
        <f>'TR TE'!$V$13*'TR TE'!$V$48</f>
        <v>0</v>
      </c>
      <c r="W13" s="26">
        <f>SUM($T$13:$V$13)</f>
        <v>0</v>
      </c>
      <c r="X13" s="26"/>
      <c r="Y13" s="26">
        <f>SUM($X$13:$X$13)</f>
        <v>0</v>
      </c>
      <c r="Z13" s="26">
        <f>'TR TE'!$Z$13*'TR TE'!$Z$48</f>
        <v>0</v>
      </c>
      <c r="AA13" s="26">
        <f>SUM($Z$13:$Z$13)</f>
        <v>0</v>
      </c>
      <c r="AB13" s="26">
        <f>SUMIF($L$4:$AA$4,"SUBTOTAL",$L$13:$AA$13)</f>
        <v>201.59985963617885</v>
      </c>
    </row>
    <row r="14" spans="1:28" ht="11.25" customHeight="1" x14ac:dyDescent="0.25">
      <c r="A14" s="114"/>
      <c r="B14" s="114"/>
      <c r="C14" s="114"/>
      <c r="D14" s="28" t="s">
        <v>40</v>
      </c>
      <c r="E14" s="28" t="s">
        <v>25</v>
      </c>
      <c r="F14" s="28" t="s">
        <v>25</v>
      </c>
      <c r="G14" s="29" t="s">
        <v>67</v>
      </c>
      <c r="H14" s="29" t="s">
        <v>60</v>
      </c>
      <c r="I14" s="29">
        <f>'MERCADO TE'!$U$11</f>
        <v>81.510999999999996</v>
      </c>
      <c r="J14" s="15"/>
      <c r="L14" s="26">
        <f>'TR TE'!$L$14*'TR TE'!$L$48</f>
        <v>0</v>
      </c>
      <c r="M14" s="26">
        <f>'TR TE'!$M$14*'TR TE'!$M$48</f>
        <v>0</v>
      </c>
      <c r="N14" s="26">
        <f>'TR TE'!$N$14*'TR TE'!$N$48</f>
        <v>0</v>
      </c>
      <c r="O14" s="26">
        <f>'TR TE'!$O$14*'TR TE'!$O$48</f>
        <v>0</v>
      </c>
      <c r="P14" s="26">
        <f>'TR TE'!$P$14*'TR TE'!$P$48</f>
        <v>0</v>
      </c>
      <c r="Q14" s="26">
        <f>SUM($L$14:$P$14)</f>
        <v>0</v>
      </c>
      <c r="R14" s="26">
        <f>'TR TE'!$R$14*'TR TE'!$R$48</f>
        <v>201.59985963617885</v>
      </c>
      <c r="S14" s="26">
        <f>SUM($R$14:$R$14)</f>
        <v>201.59985963617885</v>
      </c>
      <c r="T14" s="26">
        <f>'TR TE'!$T$14*'TR TE'!$T$48</f>
        <v>0</v>
      </c>
      <c r="U14" s="26">
        <f>'TR TE'!$U$14*'TR TE'!$U$48</f>
        <v>0</v>
      </c>
      <c r="V14" s="26">
        <f>'TR TE'!$V$14*'TR TE'!$V$48</f>
        <v>0</v>
      </c>
      <c r="W14" s="26">
        <f>SUM($T$14:$V$14)</f>
        <v>0</v>
      </c>
      <c r="X14" s="26"/>
      <c r="Y14" s="26">
        <f>SUM($X$14:$X$14)</f>
        <v>0</v>
      </c>
      <c r="Z14" s="26">
        <f>'TR TE'!$Z$14*'TR TE'!$Z$48</f>
        <v>0</v>
      </c>
      <c r="AA14" s="26">
        <f>SUM($Z$14:$Z$14)</f>
        <v>0</v>
      </c>
      <c r="AB14" s="26">
        <f>SUMIF($L$4:$AA$4,"SUBTOTAL",$L$14:$AA$14)</f>
        <v>201.59985963617885</v>
      </c>
    </row>
    <row r="15" spans="1:28" ht="11.25" customHeight="1" x14ac:dyDescent="0.25">
      <c r="A15" s="114"/>
      <c r="B15" s="114" t="s">
        <v>77</v>
      </c>
      <c r="C15" s="114" t="s">
        <v>24</v>
      </c>
      <c r="D15" s="28" t="s">
        <v>24</v>
      </c>
      <c r="E15" s="28" t="s">
        <v>25</v>
      </c>
      <c r="F15" s="28" t="s">
        <v>25</v>
      </c>
      <c r="G15" s="29" t="s">
        <v>67</v>
      </c>
      <c r="H15" s="29" t="s">
        <v>60</v>
      </c>
      <c r="I15" s="29">
        <f>'MERCADO TE'!$U$12</f>
        <v>0</v>
      </c>
      <c r="J15" s="15"/>
      <c r="L15" s="26">
        <f>'TR TE'!$L$15*'TR TE'!$L$48</f>
        <v>0</v>
      </c>
      <c r="M15" s="26">
        <f>'TR TE'!$M$15*'TR TE'!$M$48</f>
        <v>0</v>
      </c>
      <c r="N15" s="26">
        <f>'TR TE'!$N$15*'TR TE'!$N$48</f>
        <v>0</v>
      </c>
      <c r="O15" s="26">
        <f>'TR TE'!$O$15*'TR TE'!$O$48</f>
        <v>0</v>
      </c>
      <c r="P15" s="26">
        <f>'TR TE'!$P$15*'TR TE'!$P$48</f>
        <v>0</v>
      </c>
      <c r="Q15" s="26">
        <f>SUM($L$15:$P$15)</f>
        <v>0</v>
      </c>
      <c r="R15" s="26">
        <f>'TR TE'!$R$15*'TR TE'!$R$48</f>
        <v>201.59985963617885</v>
      </c>
      <c r="S15" s="26">
        <f>SUM($R$15:$R$15)</f>
        <v>201.59985963617885</v>
      </c>
      <c r="T15" s="26">
        <f>'TR TE'!$T$15*'TR TE'!$T$48</f>
        <v>0</v>
      </c>
      <c r="U15" s="26">
        <f>'TR TE'!$U$15*'TR TE'!$U$48</f>
        <v>0</v>
      </c>
      <c r="V15" s="26">
        <f>'TR TE'!$V$15*'TR TE'!$V$48</f>
        <v>0</v>
      </c>
      <c r="W15" s="26">
        <f>SUM($T$15:$V$15)</f>
        <v>0</v>
      </c>
      <c r="X15" s="26"/>
      <c r="Y15" s="26">
        <f>SUM($X$15:$X$15)</f>
        <v>0</v>
      </c>
      <c r="Z15" s="26">
        <f>'TR TE'!$Z$15*'TR TE'!$Z$48</f>
        <v>0</v>
      </c>
      <c r="AA15" s="26">
        <f>SUM($Z$15:$Z$15)</f>
        <v>0</v>
      </c>
      <c r="AB15" s="26">
        <f>SUMIF($L$4:$AA$4,"SUBTOTAL",$L$15:$AA$15)</f>
        <v>201.59985963617885</v>
      </c>
    </row>
    <row r="16" spans="1:28" ht="11.25" customHeight="1" x14ac:dyDescent="0.25">
      <c r="A16" s="114"/>
      <c r="B16" s="114"/>
      <c r="C16" s="114"/>
      <c r="D16" s="28" t="s">
        <v>41</v>
      </c>
      <c r="E16" s="28" t="s">
        <v>25</v>
      </c>
      <c r="F16" s="28" t="s">
        <v>25</v>
      </c>
      <c r="G16" s="29" t="s">
        <v>67</v>
      </c>
      <c r="H16" s="29" t="s">
        <v>60</v>
      </c>
      <c r="I16" s="29">
        <f>'MERCADO TE'!$U$13</f>
        <v>0</v>
      </c>
      <c r="J16" s="15"/>
      <c r="L16" s="26">
        <f>'TR TE'!$L$16*'TR TE'!$L$48</f>
        <v>0</v>
      </c>
      <c r="M16" s="26">
        <f>'TR TE'!$M$16*'TR TE'!$M$48</f>
        <v>0</v>
      </c>
      <c r="N16" s="26">
        <f>'TR TE'!$N$16*'TR TE'!$N$48</f>
        <v>0</v>
      </c>
      <c r="O16" s="26">
        <f>'TR TE'!$O$16*'TR TE'!$O$48</f>
        <v>0</v>
      </c>
      <c r="P16" s="26">
        <f>'TR TE'!$P$16*'TR TE'!$P$48</f>
        <v>0</v>
      </c>
      <c r="Q16" s="26">
        <f>SUM($L$16:$P$16)</f>
        <v>0</v>
      </c>
      <c r="R16" s="26">
        <f>'TR TE'!$R$16*'TR TE'!$R$48</f>
        <v>201.59985963617885</v>
      </c>
      <c r="S16" s="26">
        <f>SUM($R$16:$R$16)</f>
        <v>201.59985963617885</v>
      </c>
      <c r="T16" s="26">
        <f>'TR TE'!$T$16*'TR TE'!$T$48</f>
        <v>0</v>
      </c>
      <c r="U16" s="26">
        <f>'TR TE'!$U$16*'TR TE'!$U$48</f>
        <v>0</v>
      </c>
      <c r="V16" s="26">
        <f>'TR TE'!$V$16*'TR TE'!$V$48</f>
        <v>0</v>
      </c>
      <c r="W16" s="26">
        <f>SUM($T$16:$V$16)</f>
        <v>0</v>
      </c>
      <c r="X16" s="26"/>
      <c r="Y16" s="26">
        <f>SUM($X$16:$X$16)</f>
        <v>0</v>
      </c>
      <c r="Z16" s="26">
        <f>'TR TE'!$Z$16*'TR TE'!$Z$48</f>
        <v>0</v>
      </c>
      <c r="AA16" s="26">
        <f>SUM($Z$16:$Z$16)</f>
        <v>0</v>
      </c>
      <c r="AB16" s="26">
        <f>SUMIF($L$4:$AA$4,"SUBTOTAL",$L$16:$AA$16)</f>
        <v>201.59985963617885</v>
      </c>
    </row>
    <row r="17" spans="1:28" ht="11.25" customHeight="1" x14ac:dyDescent="0.25">
      <c r="A17" s="114"/>
      <c r="B17" s="114"/>
      <c r="C17" s="114"/>
      <c r="D17" s="28" t="s">
        <v>42</v>
      </c>
      <c r="E17" s="28" t="s">
        <v>25</v>
      </c>
      <c r="F17" s="28" t="s">
        <v>25</v>
      </c>
      <c r="G17" s="29" t="s">
        <v>67</v>
      </c>
      <c r="H17" s="29" t="s">
        <v>60</v>
      </c>
      <c r="I17" s="29">
        <f>'MERCADO TE'!$U$14</f>
        <v>0</v>
      </c>
      <c r="J17" s="15"/>
      <c r="L17" s="26">
        <f>'TR TE'!$L$17*'TR TE'!$L$48</f>
        <v>0</v>
      </c>
      <c r="M17" s="26">
        <f>'TR TE'!$M$17*'TR TE'!$M$48</f>
        <v>0</v>
      </c>
      <c r="N17" s="26">
        <f>'TR TE'!$N$17*'TR TE'!$N$48</f>
        <v>0</v>
      </c>
      <c r="O17" s="26">
        <f>'TR TE'!$O$17*'TR TE'!$O$48</f>
        <v>0</v>
      </c>
      <c r="P17" s="26">
        <f>'TR TE'!$P$17*'TR TE'!$P$48</f>
        <v>0</v>
      </c>
      <c r="Q17" s="26">
        <f>SUM($L$17:$P$17)</f>
        <v>0</v>
      </c>
      <c r="R17" s="26">
        <f>'TR TE'!$R$17*'TR TE'!$R$48</f>
        <v>201.59985963617885</v>
      </c>
      <c r="S17" s="26">
        <f>SUM($R$17:$R$17)</f>
        <v>201.59985963617885</v>
      </c>
      <c r="T17" s="26">
        <f>'TR TE'!$T$17*'TR TE'!$T$48</f>
        <v>0</v>
      </c>
      <c r="U17" s="26">
        <f>'TR TE'!$U$17*'TR TE'!$U$48</f>
        <v>0</v>
      </c>
      <c r="V17" s="26">
        <f>'TR TE'!$V$17*'TR TE'!$V$48</f>
        <v>0</v>
      </c>
      <c r="W17" s="26">
        <f>SUM($T$17:$V$17)</f>
        <v>0</v>
      </c>
      <c r="X17" s="26"/>
      <c r="Y17" s="26">
        <f>SUM($X$17:$X$17)</f>
        <v>0</v>
      </c>
      <c r="Z17" s="26">
        <f>'TR TE'!$Z$17*'TR TE'!$Z$48</f>
        <v>0</v>
      </c>
      <c r="AA17" s="26">
        <f>SUM($Z$17:$Z$17)</f>
        <v>0</v>
      </c>
      <c r="AB17" s="26">
        <f>SUMIF($L$4:$AA$4,"SUBTOTAL",$L$17:$AA$17)</f>
        <v>201.59985963617885</v>
      </c>
    </row>
    <row r="18" spans="1:28" ht="11.25" customHeight="1" x14ac:dyDescent="0.25">
      <c r="A18" s="114"/>
      <c r="B18" s="114"/>
      <c r="C18" s="114"/>
      <c r="D18" s="28" t="s">
        <v>39</v>
      </c>
      <c r="E18" s="28" t="s">
        <v>25</v>
      </c>
      <c r="F18" s="28" t="s">
        <v>25</v>
      </c>
      <c r="G18" s="29" t="s">
        <v>67</v>
      </c>
      <c r="H18" s="29" t="s">
        <v>60</v>
      </c>
      <c r="I18" s="29">
        <f>'MERCADO TE'!$U$15</f>
        <v>0</v>
      </c>
      <c r="J18" s="15"/>
      <c r="L18" s="26">
        <f>'TR TE'!$L$18*'TR TE'!$L$48</f>
        <v>0</v>
      </c>
      <c r="M18" s="26">
        <f>'TR TE'!$M$18*'TR TE'!$M$48</f>
        <v>0</v>
      </c>
      <c r="N18" s="26">
        <f>'TR TE'!$N$18*'TR TE'!$N$48</f>
        <v>0</v>
      </c>
      <c r="O18" s="26">
        <f>'TR TE'!$O$18*'TR TE'!$O$48</f>
        <v>0</v>
      </c>
      <c r="P18" s="26">
        <f>'TR TE'!$P$18*'TR TE'!$P$48</f>
        <v>0</v>
      </c>
      <c r="Q18" s="26">
        <f>SUM($L$18:$P$18)</f>
        <v>0</v>
      </c>
      <c r="R18" s="26">
        <f>'TR TE'!$R$18*'TR TE'!$R$48</f>
        <v>201.59985963617885</v>
      </c>
      <c r="S18" s="26">
        <f>SUM($R$18:$R$18)</f>
        <v>201.59985963617885</v>
      </c>
      <c r="T18" s="26">
        <f>'TR TE'!$T$18*'TR TE'!$T$48</f>
        <v>0</v>
      </c>
      <c r="U18" s="26">
        <f>'TR TE'!$U$18*'TR TE'!$U$48</f>
        <v>0</v>
      </c>
      <c r="V18" s="26">
        <f>'TR TE'!$V$18*'TR TE'!$V$48</f>
        <v>0</v>
      </c>
      <c r="W18" s="26">
        <f>SUM($T$18:$V$18)</f>
        <v>0</v>
      </c>
      <c r="X18" s="26"/>
      <c r="Y18" s="26">
        <f>SUM($X$18:$X$18)</f>
        <v>0</v>
      </c>
      <c r="Z18" s="26">
        <f>'TR TE'!$Z$18*'TR TE'!$Z$48</f>
        <v>0</v>
      </c>
      <c r="AA18" s="26">
        <f>SUM($Z$18:$Z$18)</f>
        <v>0</v>
      </c>
      <c r="AB18" s="26">
        <f>SUMIF($L$4:$AA$4,"SUBTOTAL",$L$18:$AA$18)</f>
        <v>201.59985963617885</v>
      </c>
    </row>
    <row r="19" spans="1:28" ht="11.25" customHeight="1" x14ac:dyDescent="0.25">
      <c r="A19" s="114"/>
      <c r="B19" s="114"/>
      <c r="C19" s="114"/>
      <c r="D19" s="28" t="s">
        <v>40</v>
      </c>
      <c r="E19" s="28" t="s">
        <v>25</v>
      </c>
      <c r="F19" s="28" t="s">
        <v>25</v>
      </c>
      <c r="G19" s="29" t="s">
        <v>67</v>
      </c>
      <c r="H19" s="29" t="s">
        <v>60</v>
      </c>
      <c r="I19" s="29">
        <f>'MERCADO TE'!$U$16</f>
        <v>0</v>
      </c>
      <c r="J19" s="15"/>
      <c r="L19" s="26">
        <f>'TR TE'!$L$19*'TR TE'!$L$48</f>
        <v>0</v>
      </c>
      <c r="M19" s="26">
        <f>'TR TE'!$M$19*'TR TE'!$M$48</f>
        <v>0</v>
      </c>
      <c r="N19" s="26">
        <f>'TR TE'!$N$19*'TR TE'!$N$48</f>
        <v>0</v>
      </c>
      <c r="O19" s="26">
        <f>'TR TE'!$O$19*'TR TE'!$O$48</f>
        <v>0</v>
      </c>
      <c r="P19" s="26">
        <f>'TR TE'!$P$19*'TR TE'!$P$48</f>
        <v>0</v>
      </c>
      <c r="Q19" s="26">
        <f>SUM($L$19:$P$19)</f>
        <v>0</v>
      </c>
      <c r="R19" s="26">
        <f>'TR TE'!$R$19*'TR TE'!$R$48</f>
        <v>201.59985963617885</v>
      </c>
      <c r="S19" s="26">
        <f>SUM($R$19:$R$19)</f>
        <v>201.59985963617885</v>
      </c>
      <c r="T19" s="26">
        <f>'TR TE'!$T$19*'TR TE'!$T$48</f>
        <v>0</v>
      </c>
      <c r="U19" s="26">
        <f>'TR TE'!$U$19*'TR TE'!$U$48</f>
        <v>0</v>
      </c>
      <c r="V19" s="26">
        <f>'TR TE'!$V$19*'TR TE'!$V$48</f>
        <v>0</v>
      </c>
      <c r="W19" s="26">
        <f>SUM($T$19:$V$19)</f>
        <v>0</v>
      </c>
      <c r="X19" s="26"/>
      <c r="Y19" s="26">
        <f>SUM($X$19:$X$19)</f>
        <v>0</v>
      </c>
      <c r="Z19" s="26">
        <f>'TR TE'!$Z$19*'TR TE'!$Z$48</f>
        <v>0</v>
      </c>
      <c r="AA19" s="26">
        <f>SUM($Z$19:$Z$19)</f>
        <v>0</v>
      </c>
      <c r="AB19" s="26">
        <f>SUMIF($L$4:$AA$4,"SUBTOTAL",$L$19:$AA$19)</f>
        <v>201.59985963617885</v>
      </c>
    </row>
    <row r="20" spans="1:28" ht="11.25" customHeight="1" x14ac:dyDescent="0.25">
      <c r="A20" s="114" t="s">
        <v>31</v>
      </c>
      <c r="B20" s="114" t="s">
        <v>59</v>
      </c>
      <c r="C20" s="114" t="s">
        <v>32</v>
      </c>
      <c r="D20" s="114" t="s">
        <v>25</v>
      </c>
      <c r="E20" s="114" t="s">
        <v>25</v>
      </c>
      <c r="F20" s="114" t="s">
        <v>25</v>
      </c>
      <c r="G20" s="29" t="s">
        <v>61</v>
      </c>
      <c r="H20" s="29" t="s">
        <v>60</v>
      </c>
      <c r="I20" s="29">
        <f>'MERCADO TE'!$U$17</f>
        <v>0</v>
      </c>
      <c r="J20" s="15"/>
      <c r="L20" s="26">
        <f>'TR TE'!$L$20*'TR TE'!$L$48</f>
        <v>0</v>
      </c>
      <c r="M20" s="26">
        <f>'TR TE'!$M$20*'TR TE'!$M$48</f>
        <v>0</v>
      </c>
      <c r="N20" s="26">
        <f>'TR TE'!$N$20*'TR TE'!$N$48</f>
        <v>0</v>
      </c>
      <c r="O20" s="26">
        <f>'TR TE'!$O$20*'TR TE'!$O$48</f>
        <v>0</v>
      </c>
      <c r="P20" s="26">
        <f>'TR TE'!$P$20*'TR TE'!$P$48</f>
        <v>0</v>
      </c>
      <c r="Q20" s="26">
        <f>SUM($L$20:$P$20)</f>
        <v>0</v>
      </c>
      <c r="R20" s="26">
        <f>'TR TE'!$R$20*'TR TE'!$R$48</f>
        <v>201.59985963617885</v>
      </c>
      <c r="S20" s="26">
        <f>SUM($R$20:$R$20)</f>
        <v>201.59985963617885</v>
      </c>
      <c r="T20" s="26">
        <f>'TR TE'!$T$20*'TR TE'!$T$48</f>
        <v>0</v>
      </c>
      <c r="U20" s="26">
        <f>'TR TE'!$U$20*'TR TE'!$U$48</f>
        <v>0</v>
      </c>
      <c r="V20" s="26">
        <f>'TR TE'!$V$20*'TR TE'!$V$48</f>
        <v>0</v>
      </c>
      <c r="W20" s="26">
        <f>SUM($T$20:$V$20)</f>
        <v>0</v>
      </c>
      <c r="X20" s="26"/>
      <c r="Y20" s="26">
        <f>SUM($X$20:$X$20)</f>
        <v>0</v>
      </c>
      <c r="Z20" s="26">
        <f>'TR TE'!$Z$20*'TR TE'!$Z$48</f>
        <v>0</v>
      </c>
      <c r="AA20" s="26">
        <f>SUM($Z$20:$Z$20)</f>
        <v>0</v>
      </c>
      <c r="AB20" s="26">
        <f>SUMIF($L$4:$AA$4,"SUBTOTAL",$L$20:$AA$20)</f>
        <v>201.59985963617885</v>
      </c>
    </row>
    <row r="21" spans="1:28" ht="11.25" customHeight="1" x14ac:dyDescent="0.25">
      <c r="A21" s="114"/>
      <c r="B21" s="114"/>
      <c r="C21" s="114"/>
      <c r="D21" s="114"/>
      <c r="E21" s="114"/>
      <c r="F21" s="114"/>
      <c r="G21" s="29" t="s">
        <v>74</v>
      </c>
      <c r="H21" s="29" t="s">
        <v>60</v>
      </c>
      <c r="I21" s="29">
        <f>'MERCADO TE'!$U$18</f>
        <v>0</v>
      </c>
      <c r="J21" s="15"/>
      <c r="L21" s="26">
        <f>'TR TE'!$L$21*'TR TE'!$L$48</f>
        <v>0</v>
      </c>
      <c r="M21" s="26">
        <f>'TR TE'!$M$21*'TR TE'!$M$48</f>
        <v>0</v>
      </c>
      <c r="N21" s="26">
        <f>'TR TE'!$N$21*'TR TE'!$N$48</f>
        <v>0</v>
      </c>
      <c r="O21" s="26">
        <f>'TR TE'!$O$21*'TR TE'!$O$48</f>
        <v>0</v>
      </c>
      <c r="P21" s="26">
        <f>'TR TE'!$P$21*'TR TE'!$P$48</f>
        <v>0</v>
      </c>
      <c r="Q21" s="26">
        <f>SUM($L$21:$P$21)</f>
        <v>0</v>
      </c>
      <c r="R21" s="26">
        <f>'TR TE'!$R$21*'TR TE'!$R$48</f>
        <v>201.59985963617885</v>
      </c>
      <c r="S21" s="26">
        <f>SUM($R$21:$R$21)</f>
        <v>201.59985963617885</v>
      </c>
      <c r="T21" s="26">
        <f>'TR TE'!$T$21*'TR TE'!$T$48</f>
        <v>0</v>
      </c>
      <c r="U21" s="26">
        <f>'TR TE'!$U$21*'TR TE'!$U$48</f>
        <v>0</v>
      </c>
      <c r="V21" s="26">
        <f>'TR TE'!$V$21*'TR TE'!$V$48</f>
        <v>0</v>
      </c>
      <c r="W21" s="26">
        <f>SUM($T$21:$V$21)</f>
        <v>0</v>
      </c>
      <c r="X21" s="26"/>
      <c r="Y21" s="26">
        <f>SUM($X$21:$X$21)</f>
        <v>0</v>
      </c>
      <c r="Z21" s="26">
        <f>'TR TE'!$Z$21*'TR TE'!$Z$48</f>
        <v>0</v>
      </c>
      <c r="AA21" s="26">
        <f>SUM($Z$21:$Z$21)</f>
        <v>0</v>
      </c>
      <c r="AB21" s="26">
        <f>SUMIF($L$4:$AA$4,"SUBTOTAL",$L$21:$AA$21)</f>
        <v>201.59985963617885</v>
      </c>
    </row>
    <row r="22" spans="1:28" ht="11.25" customHeight="1" x14ac:dyDescent="0.25">
      <c r="A22" s="114"/>
      <c r="B22" s="114"/>
      <c r="C22" s="114"/>
      <c r="D22" s="114"/>
      <c r="E22" s="114"/>
      <c r="F22" s="114"/>
      <c r="G22" s="29" t="s">
        <v>62</v>
      </c>
      <c r="H22" s="29" t="s">
        <v>60</v>
      </c>
      <c r="I22" s="29">
        <f>'MERCADO TE'!$U$19</f>
        <v>0</v>
      </c>
      <c r="J22" s="15"/>
      <c r="L22" s="26">
        <f>'TR TE'!$L$22*'TR TE'!$L$48</f>
        <v>0</v>
      </c>
      <c r="M22" s="26">
        <f>'TR TE'!$M$22*'TR TE'!$M$48</f>
        <v>0</v>
      </c>
      <c r="N22" s="26">
        <f>'TR TE'!$N$22*'TR TE'!$N$48</f>
        <v>0</v>
      </c>
      <c r="O22" s="26">
        <f>'TR TE'!$O$22*'TR TE'!$O$48</f>
        <v>0</v>
      </c>
      <c r="P22" s="26">
        <f>'TR TE'!$P$22*'TR TE'!$P$48</f>
        <v>0</v>
      </c>
      <c r="Q22" s="26">
        <f>SUM($L$22:$P$22)</f>
        <v>0</v>
      </c>
      <c r="R22" s="26">
        <f>'TR TE'!$R$22*'TR TE'!$R$48</f>
        <v>201.59985963617885</v>
      </c>
      <c r="S22" s="26">
        <f>SUM($R$22:$R$22)</f>
        <v>201.59985963617885</v>
      </c>
      <c r="T22" s="26">
        <f>'TR TE'!$T$22*'TR TE'!$T$48</f>
        <v>0</v>
      </c>
      <c r="U22" s="26">
        <f>'TR TE'!$U$22*'TR TE'!$U$48</f>
        <v>0</v>
      </c>
      <c r="V22" s="26">
        <f>'TR TE'!$V$22*'TR TE'!$V$48</f>
        <v>0</v>
      </c>
      <c r="W22" s="26">
        <f>SUM($T$22:$V$22)</f>
        <v>0</v>
      </c>
      <c r="X22" s="26"/>
      <c r="Y22" s="26">
        <f>SUM($X$22:$X$22)</f>
        <v>0</v>
      </c>
      <c r="Z22" s="26">
        <f>'TR TE'!$Z$22*'TR TE'!$Z$48</f>
        <v>0</v>
      </c>
      <c r="AA22" s="26">
        <f>SUM($Z$22:$Z$22)</f>
        <v>0</v>
      </c>
      <c r="AB22" s="26">
        <f>SUMIF($L$4:$AA$4,"SUBTOTAL",$L$22:$AA$22)</f>
        <v>201.59985963617885</v>
      </c>
    </row>
    <row r="23" spans="1:28" ht="11.25" customHeight="1" x14ac:dyDescent="0.25">
      <c r="A23" s="114"/>
      <c r="B23" s="28" t="s">
        <v>75</v>
      </c>
      <c r="C23" s="28" t="s">
        <v>32</v>
      </c>
      <c r="D23" s="28" t="s">
        <v>25</v>
      </c>
      <c r="E23" s="28" t="s">
        <v>25</v>
      </c>
      <c r="F23" s="28" t="s">
        <v>25</v>
      </c>
      <c r="G23" s="29" t="s">
        <v>67</v>
      </c>
      <c r="H23" s="29" t="s">
        <v>60</v>
      </c>
      <c r="I23" s="29">
        <f>'MERCADO TE'!$U$20</f>
        <v>6180.567</v>
      </c>
      <c r="J23" s="15"/>
      <c r="L23" s="26">
        <f>'TR TE'!$L$23*'TR TE'!$L$48</f>
        <v>0</v>
      </c>
      <c r="M23" s="26">
        <f>'TR TE'!$M$23*'TR TE'!$M$48</f>
        <v>0</v>
      </c>
      <c r="N23" s="26">
        <f>'TR TE'!$N$23*'TR TE'!$N$48</f>
        <v>0</v>
      </c>
      <c r="O23" s="26">
        <f>'TR TE'!$O$23*'TR TE'!$O$48</f>
        <v>0</v>
      </c>
      <c r="P23" s="26">
        <f>'TR TE'!$P$23*'TR TE'!$P$48</f>
        <v>0</v>
      </c>
      <c r="Q23" s="26">
        <f>SUM($L$23:$P$23)</f>
        <v>0</v>
      </c>
      <c r="R23" s="26">
        <f>'TR TE'!$R$23*'TR TE'!$R$48</f>
        <v>201.59985963617885</v>
      </c>
      <c r="S23" s="26">
        <f>SUM($R$23:$R$23)</f>
        <v>201.59985963617885</v>
      </c>
      <c r="T23" s="26">
        <f>'TR TE'!$T$23*'TR TE'!$T$48</f>
        <v>0</v>
      </c>
      <c r="U23" s="26">
        <f>'TR TE'!$U$23*'TR TE'!$U$48</f>
        <v>0</v>
      </c>
      <c r="V23" s="26">
        <f>'TR TE'!$V$23*'TR TE'!$V$48</f>
        <v>0</v>
      </c>
      <c r="W23" s="26">
        <f>SUM($T$23:$V$23)</f>
        <v>0</v>
      </c>
      <c r="X23" s="26"/>
      <c r="Y23" s="26">
        <f>SUM($X$23:$X$23)</f>
        <v>0</v>
      </c>
      <c r="Z23" s="26">
        <f>'TR TE'!$Z$23*'TR TE'!$Z$48</f>
        <v>0</v>
      </c>
      <c r="AA23" s="26">
        <f>SUM($Z$23:$Z$23)</f>
        <v>0</v>
      </c>
      <c r="AB23" s="26">
        <f>SUMIF($L$4:$AA$4,"SUBTOTAL",$L$23:$AA$23)</f>
        <v>201.59985963617885</v>
      </c>
    </row>
    <row r="24" spans="1:28" ht="11.25" customHeight="1" x14ac:dyDescent="0.25">
      <c r="A24" s="114"/>
      <c r="B24" s="114" t="s">
        <v>59</v>
      </c>
      <c r="C24" s="114" t="s">
        <v>32</v>
      </c>
      <c r="D24" s="114" t="s">
        <v>79</v>
      </c>
      <c r="E24" s="114" t="s">
        <v>25</v>
      </c>
      <c r="F24" s="114" t="s">
        <v>25</v>
      </c>
      <c r="G24" s="29" t="s">
        <v>61</v>
      </c>
      <c r="H24" s="29" t="s">
        <v>60</v>
      </c>
      <c r="I24" s="29">
        <f>'MERCADO TE'!$U$21</f>
        <v>0</v>
      </c>
      <c r="J24" s="15"/>
      <c r="L24" s="26">
        <f>'TR TE'!$L$24*'TR TE'!$L$48</f>
        <v>0</v>
      </c>
      <c r="M24" s="26">
        <f>'TR TE'!$M$24*'TR TE'!$M$48</f>
        <v>0</v>
      </c>
      <c r="N24" s="26">
        <f>'TR TE'!$N$24*'TR TE'!$N$48</f>
        <v>0</v>
      </c>
      <c r="O24" s="26">
        <f>'TR TE'!$O$24*'TR TE'!$O$48</f>
        <v>0</v>
      </c>
      <c r="P24" s="26">
        <f>'TR TE'!$P$24*'TR TE'!$P$48</f>
        <v>0</v>
      </c>
      <c r="Q24" s="26">
        <f>SUM($L$24:$P$24)</f>
        <v>0</v>
      </c>
      <c r="R24" s="26">
        <f>'TR TE'!$R$24*'TR TE'!$R$48</f>
        <v>201.59985963617885</v>
      </c>
      <c r="S24" s="26">
        <f>SUM($R$24:$R$24)</f>
        <v>201.59985963617885</v>
      </c>
      <c r="T24" s="26">
        <f>'TR TE'!$T$24*'TR TE'!$T$48</f>
        <v>0</v>
      </c>
      <c r="U24" s="26">
        <f>'TR TE'!$U$24*'TR TE'!$U$48</f>
        <v>0</v>
      </c>
      <c r="V24" s="26">
        <f>'TR TE'!$V$24*'TR TE'!$V$48</f>
        <v>0</v>
      </c>
      <c r="W24" s="26">
        <f>SUM($T$24:$V$24)</f>
        <v>0</v>
      </c>
      <c r="X24" s="26"/>
      <c r="Y24" s="26">
        <f>SUM($X$24:$X$24)</f>
        <v>0</v>
      </c>
      <c r="Z24" s="26">
        <f>'TR TE'!$Z$24*'TR TE'!$Z$48</f>
        <v>0</v>
      </c>
      <c r="AA24" s="26">
        <f>SUM($Z$24:$Z$24)</f>
        <v>0</v>
      </c>
      <c r="AB24" s="26">
        <f>SUMIF($L$4:$AA$4,"SUBTOTAL",$L$24:$AA$24)</f>
        <v>201.59985963617885</v>
      </c>
    </row>
    <row r="25" spans="1:28" ht="11.25" customHeight="1" x14ac:dyDescent="0.25">
      <c r="A25" s="114"/>
      <c r="B25" s="114"/>
      <c r="C25" s="114"/>
      <c r="D25" s="114"/>
      <c r="E25" s="114"/>
      <c r="F25" s="114"/>
      <c r="G25" s="29" t="s">
        <v>74</v>
      </c>
      <c r="H25" s="29" t="s">
        <v>60</v>
      </c>
      <c r="I25" s="29">
        <f>'MERCADO TE'!$U$22</f>
        <v>0</v>
      </c>
      <c r="J25" s="15"/>
      <c r="L25" s="26">
        <f>'TR TE'!$L$25*'TR TE'!$L$48</f>
        <v>0</v>
      </c>
      <c r="M25" s="26">
        <f>'TR TE'!$M$25*'TR TE'!$M$48</f>
        <v>0</v>
      </c>
      <c r="N25" s="26">
        <f>'TR TE'!$N$25*'TR TE'!$N$48</f>
        <v>0</v>
      </c>
      <c r="O25" s="26">
        <f>'TR TE'!$O$25*'TR TE'!$O$48</f>
        <v>0</v>
      </c>
      <c r="P25" s="26">
        <f>'TR TE'!$P$25*'TR TE'!$P$48</f>
        <v>0</v>
      </c>
      <c r="Q25" s="26">
        <f>SUM($L$25:$P$25)</f>
        <v>0</v>
      </c>
      <c r="R25" s="26">
        <f>'TR TE'!$R$25*'TR TE'!$R$48</f>
        <v>201.59985963617885</v>
      </c>
      <c r="S25" s="26">
        <f>SUM($R$25:$R$25)</f>
        <v>201.59985963617885</v>
      </c>
      <c r="T25" s="26">
        <f>'TR TE'!$T$25*'TR TE'!$T$48</f>
        <v>0</v>
      </c>
      <c r="U25" s="26">
        <f>'TR TE'!$U$25*'TR TE'!$U$48</f>
        <v>0</v>
      </c>
      <c r="V25" s="26">
        <f>'TR TE'!$V$25*'TR TE'!$V$48</f>
        <v>0</v>
      </c>
      <c r="W25" s="26">
        <f>SUM($T$25:$V$25)</f>
        <v>0</v>
      </c>
      <c r="X25" s="26"/>
      <c r="Y25" s="26">
        <f>SUM($X$25:$X$25)</f>
        <v>0</v>
      </c>
      <c r="Z25" s="26">
        <f>'TR TE'!$Z$25*'TR TE'!$Z$48</f>
        <v>0</v>
      </c>
      <c r="AA25" s="26">
        <f>SUM($Z$25:$Z$25)</f>
        <v>0</v>
      </c>
      <c r="AB25" s="26">
        <f>SUMIF($L$4:$AA$4,"SUBTOTAL",$L$25:$AA$25)</f>
        <v>201.59985963617885</v>
      </c>
    </row>
    <row r="26" spans="1:28" ht="11.25" customHeight="1" x14ac:dyDescent="0.25">
      <c r="A26" s="114"/>
      <c r="B26" s="114"/>
      <c r="C26" s="114"/>
      <c r="D26" s="114"/>
      <c r="E26" s="114"/>
      <c r="F26" s="114"/>
      <c r="G26" s="29" t="s">
        <v>62</v>
      </c>
      <c r="H26" s="29" t="s">
        <v>60</v>
      </c>
      <c r="I26" s="29">
        <f>'MERCADO TE'!$U$23</f>
        <v>0</v>
      </c>
      <c r="J26" s="15"/>
      <c r="L26" s="26">
        <f>'TR TE'!$L$26*'TR TE'!$L$48</f>
        <v>0</v>
      </c>
      <c r="M26" s="26">
        <f>'TR TE'!$M$26*'TR TE'!$M$48</f>
        <v>0</v>
      </c>
      <c r="N26" s="26">
        <f>'TR TE'!$N$26*'TR TE'!$N$48</f>
        <v>0</v>
      </c>
      <c r="O26" s="26">
        <f>'TR TE'!$O$26*'TR TE'!$O$48</f>
        <v>0</v>
      </c>
      <c r="P26" s="26">
        <f>'TR TE'!$P$26*'TR TE'!$P$48</f>
        <v>0</v>
      </c>
      <c r="Q26" s="26">
        <f>SUM($L$26:$P$26)</f>
        <v>0</v>
      </c>
      <c r="R26" s="26">
        <f>'TR TE'!$R$26*'TR TE'!$R$48</f>
        <v>201.59985963617885</v>
      </c>
      <c r="S26" s="26">
        <f>SUM($R$26:$R$26)</f>
        <v>201.59985963617885</v>
      </c>
      <c r="T26" s="26">
        <f>'TR TE'!$T$26*'TR TE'!$T$48</f>
        <v>0</v>
      </c>
      <c r="U26" s="26">
        <f>'TR TE'!$U$26*'TR TE'!$U$48</f>
        <v>0</v>
      </c>
      <c r="V26" s="26">
        <f>'TR TE'!$V$26*'TR TE'!$V$48</f>
        <v>0</v>
      </c>
      <c r="W26" s="26">
        <f>SUM($T$26:$V$26)</f>
        <v>0</v>
      </c>
      <c r="X26" s="26"/>
      <c r="Y26" s="26">
        <f>SUM($X$26:$X$26)</f>
        <v>0</v>
      </c>
      <c r="Z26" s="26">
        <f>'TR TE'!$Z$26*'TR TE'!$Z$48</f>
        <v>0</v>
      </c>
      <c r="AA26" s="26">
        <f>SUM($Z$26:$Z$26)</f>
        <v>0</v>
      </c>
      <c r="AB26" s="26">
        <f>SUMIF($L$4:$AA$4,"SUBTOTAL",$L$26:$AA$26)</f>
        <v>201.59985963617885</v>
      </c>
    </row>
    <row r="27" spans="1:28" ht="11.25" customHeight="1" x14ac:dyDescent="0.25">
      <c r="A27" s="114"/>
      <c r="B27" s="28" t="s">
        <v>75</v>
      </c>
      <c r="C27" s="28" t="s">
        <v>32</v>
      </c>
      <c r="D27" s="28" t="s">
        <v>79</v>
      </c>
      <c r="E27" s="28" t="s">
        <v>25</v>
      </c>
      <c r="F27" s="28" t="s">
        <v>25</v>
      </c>
      <c r="G27" s="29" t="s">
        <v>67</v>
      </c>
      <c r="H27" s="29" t="s">
        <v>60</v>
      </c>
      <c r="I27" s="29">
        <f>'MERCADO TE'!$U$24</f>
        <v>0</v>
      </c>
      <c r="J27" s="15"/>
      <c r="L27" s="26">
        <f>'TR TE'!$L$27*'TR TE'!$L$48</f>
        <v>0</v>
      </c>
      <c r="M27" s="26">
        <f>'TR TE'!$M$27*'TR TE'!$M$48</f>
        <v>0</v>
      </c>
      <c r="N27" s="26">
        <f>'TR TE'!$N$27*'TR TE'!$N$48</f>
        <v>0</v>
      </c>
      <c r="O27" s="26">
        <f>'TR TE'!$O$27*'TR TE'!$O$48</f>
        <v>0</v>
      </c>
      <c r="P27" s="26">
        <f>'TR TE'!$P$27*'TR TE'!$P$48</f>
        <v>0</v>
      </c>
      <c r="Q27" s="26">
        <f>SUM($L$27:$P$27)</f>
        <v>0</v>
      </c>
      <c r="R27" s="26">
        <f>'TR TE'!$R$27*'TR TE'!$R$48</f>
        <v>201.59985963617885</v>
      </c>
      <c r="S27" s="26">
        <f>SUM($R$27:$R$27)</f>
        <v>201.59985963617885</v>
      </c>
      <c r="T27" s="26">
        <f>'TR TE'!$T$27*'TR TE'!$T$48</f>
        <v>0</v>
      </c>
      <c r="U27" s="26">
        <f>'TR TE'!$U$27*'TR TE'!$U$48</f>
        <v>0</v>
      </c>
      <c r="V27" s="26">
        <f>'TR TE'!$V$27*'TR TE'!$V$48</f>
        <v>0</v>
      </c>
      <c r="W27" s="26">
        <f>SUM($T$27:$V$27)</f>
        <v>0</v>
      </c>
      <c r="X27" s="26"/>
      <c r="Y27" s="26">
        <f>SUM($X$27:$X$27)</f>
        <v>0</v>
      </c>
      <c r="Z27" s="26">
        <f>'TR TE'!$Z$27*'TR TE'!$Z$48</f>
        <v>0</v>
      </c>
      <c r="AA27" s="26">
        <f>SUM($Z$27:$Z$27)</f>
        <v>0</v>
      </c>
      <c r="AB27" s="26">
        <f>SUMIF($L$4:$AA$4,"SUBTOTAL",$L$27:$AA$27)</f>
        <v>201.59985963617885</v>
      </c>
    </row>
    <row r="28" spans="1:28" ht="11.25" customHeight="1" x14ac:dyDescent="0.25">
      <c r="A28" s="114"/>
      <c r="B28" s="114" t="s">
        <v>59</v>
      </c>
      <c r="C28" s="114" t="s">
        <v>32</v>
      </c>
      <c r="D28" s="114" t="s">
        <v>80</v>
      </c>
      <c r="E28" s="114" t="s">
        <v>25</v>
      </c>
      <c r="F28" s="114" t="s">
        <v>25</v>
      </c>
      <c r="G28" s="29" t="s">
        <v>61</v>
      </c>
      <c r="H28" s="29" t="s">
        <v>60</v>
      </c>
      <c r="I28" s="29">
        <f>'MERCADO TE'!$U$25</f>
        <v>0</v>
      </c>
      <c r="J28" s="15"/>
      <c r="L28" s="26">
        <f>'TR TE'!$L$28*'TR TE'!$L$48</f>
        <v>0</v>
      </c>
      <c r="M28" s="26">
        <f>'TR TE'!$M$28*'TR TE'!$M$48</f>
        <v>0</v>
      </c>
      <c r="N28" s="26">
        <f>'TR TE'!$N$28*'TR TE'!$N$48</f>
        <v>0</v>
      </c>
      <c r="O28" s="26">
        <f>'TR TE'!$O$28*'TR TE'!$O$48</f>
        <v>0</v>
      </c>
      <c r="P28" s="26">
        <f>'TR TE'!$P$28*'TR TE'!$P$48</f>
        <v>0</v>
      </c>
      <c r="Q28" s="26">
        <f>SUM($L$28:$P$28)</f>
        <v>0</v>
      </c>
      <c r="R28" s="26">
        <f>'TR TE'!$R$28*'TR TE'!$R$48</f>
        <v>201.59985963617885</v>
      </c>
      <c r="S28" s="26">
        <f>SUM($R$28:$R$28)</f>
        <v>201.59985963617885</v>
      </c>
      <c r="T28" s="26">
        <f>'TR TE'!$T$28*'TR TE'!$T$48</f>
        <v>0</v>
      </c>
      <c r="U28" s="26">
        <f>'TR TE'!$U$28*'TR TE'!$U$48</f>
        <v>0</v>
      </c>
      <c r="V28" s="26">
        <f>'TR TE'!$V$28*'TR TE'!$V$48</f>
        <v>0</v>
      </c>
      <c r="W28" s="26">
        <f>SUM($T$28:$V$28)</f>
        <v>0</v>
      </c>
      <c r="X28" s="26"/>
      <c r="Y28" s="26">
        <f>SUM($X$28:$X$28)</f>
        <v>0</v>
      </c>
      <c r="Z28" s="26">
        <f>'TR TE'!$Z$28*'TR TE'!$Z$48</f>
        <v>0</v>
      </c>
      <c r="AA28" s="26">
        <f>SUM($Z$28:$Z$28)</f>
        <v>0</v>
      </c>
      <c r="AB28" s="26">
        <f>SUMIF($L$4:$AA$4,"SUBTOTAL",$L$28:$AA$28)</f>
        <v>201.59985963617885</v>
      </c>
    </row>
    <row r="29" spans="1:28" ht="11.25" customHeight="1" x14ac:dyDescent="0.25">
      <c r="A29" s="114"/>
      <c r="B29" s="114"/>
      <c r="C29" s="114"/>
      <c r="D29" s="114"/>
      <c r="E29" s="114"/>
      <c r="F29" s="114"/>
      <c r="G29" s="29" t="s">
        <v>74</v>
      </c>
      <c r="H29" s="29" t="s">
        <v>60</v>
      </c>
      <c r="I29" s="29">
        <f>'MERCADO TE'!$U$26</f>
        <v>0</v>
      </c>
      <c r="J29" s="15"/>
      <c r="L29" s="26">
        <f>'TR TE'!$L$29*'TR TE'!$L$48</f>
        <v>0</v>
      </c>
      <c r="M29" s="26">
        <f>'TR TE'!$M$29*'TR TE'!$M$48</f>
        <v>0</v>
      </c>
      <c r="N29" s="26">
        <f>'TR TE'!$N$29*'TR TE'!$N$48</f>
        <v>0</v>
      </c>
      <c r="O29" s="26">
        <f>'TR TE'!$O$29*'TR TE'!$O$48</f>
        <v>0</v>
      </c>
      <c r="P29" s="26">
        <f>'TR TE'!$P$29*'TR TE'!$P$48</f>
        <v>0</v>
      </c>
      <c r="Q29" s="26">
        <f>SUM($L$29:$P$29)</f>
        <v>0</v>
      </c>
      <c r="R29" s="26">
        <f>'TR TE'!$R$29*'TR TE'!$R$48</f>
        <v>201.59985963617885</v>
      </c>
      <c r="S29" s="26">
        <f>SUM($R$29:$R$29)</f>
        <v>201.59985963617885</v>
      </c>
      <c r="T29" s="26">
        <f>'TR TE'!$T$29*'TR TE'!$T$48</f>
        <v>0</v>
      </c>
      <c r="U29" s="26">
        <f>'TR TE'!$U$29*'TR TE'!$U$48</f>
        <v>0</v>
      </c>
      <c r="V29" s="26">
        <f>'TR TE'!$V$29*'TR TE'!$V$48</f>
        <v>0</v>
      </c>
      <c r="W29" s="26">
        <f>SUM($T$29:$V$29)</f>
        <v>0</v>
      </c>
      <c r="X29" s="26"/>
      <c r="Y29" s="26">
        <f>SUM($X$29:$X$29)</f>
        <v>0</v>
      </c>
      <c r="Z29" s="26">
        <f>'TR TE'!$Z$29*'TR TE'!$Z$48</f>
        <v>0</v>
      </c>
      <c r="AA29" s="26">
        <f>SUM($Z$29:$Z$29)</f>
        <v>0</v>
      </c>
      <c r="AB29" s="26">
        <f>SUMIF($L$4:$AA$4,"SUBTOTAL",$L$29:$AA$29)</f>
        <v>201.59985963617885</v>
      </c>
    </row>
    <row r="30" spans="1:28" ht="11.25" customHeight="1" x14ac:dyDescent="0.25">
      <c r="A30" s="114"/>
      <c r="B30" s="114"/>
      <c r="C30" s="114"/>
      <c r="D30" s="114"/>
      <c r="E30" s="114"/>
      <c r="F30" s="114"/>
      <c r="G30" s="29" t="s">
        <v>62</v>
      </c>
      <c r="H30" s="29" t="s">
        <v>60</v>
      </c>
      <c r="I30" s="29">
        <f>'MERCADO TE'!$U$27</f>
        <v>0</v>
      </c>
      <c r="J30" s="15"/>
      <c r="L30" s="26">
        <f>'TR TE'!$L$30*'TR TE'!$L$48</f>
        <v>0</v>
      </c>
      <c r="M30" s="26">
        <f>'TR TE'!$M$30*'TR TE'!$M$48</f>
        <v>0</v>
      </c>
      <c r="N30" s="26">
        <f>'TR TE'!$N$30*'TR TE'!$N$48</f>
        <v>0</v>
      </c>
      <c r="O30" s="26">
        <f>'TR TE'!$O$30*'TR TE'!$O$48</f>
        <v>0</v>
      </c>
      <c r="P30" s="26">
        <f>'TR TE'!$P$30*'TR TE'!$P$48</f>
        <v>0</v>
      </c>
      <c r="Q30" s="26">
        <f>SUM($L$30:$P$30)</f>
        <v>0</v>
      </c>
      <c r="R30" s="26">
        <f>'TR TE'!$R$30*'TR TE'!$R$48</f>
        <v>201.59985963617885</v>
      </c>
      <c r="S30" s="26">
        <f>SUM($R$30:$R$30)</f>
        <v>201.59985963617885</v>
      </c>
      <c r="T30" s="26">
        <f>'TR TE'!$T$30*'TR TE'!$T$48</f>
        <v>0</v>
      </c>
      <c r="U30" s="26">
        <f>'TR TE'!$U$30*'TR TE'!$U$48</f>
        <v>0</v>
      </c>
      <c r="V30" s="26">
        <f>'TR TE'!$V$30*'TR TE'!$V$48</f>
        <v>0</v>
      </c>
      <c r="W30" s="26">
        <f>SUM($T$30:$V$30)</f>
        <v>0</v>
      </c>
      <c r="X30" s="26"/>
      <c r="Y30" s="26">
        <f>SUM($X$30:$X$30)</f>
        <v>0</v>
      </c>
      <c r="Z30" s="26">
        <f>'TR TE'!$Z$30*'TR TE'!$Z$48</f>
        <v>0</v>
      </c>
      <c r="AA30" s="26">
        <f>SUM($Z$30:$Z$30)</f>
        <v>0</v>
      </c>
      <c r="AB30" s="26">
        <f>SUMIF($L$4:$AA$4,"SUBTOTAL",$L$30:$AA$30)</f>
        <v>201.59985963617885</v>
      </c>
    </row>
    <row r="31" spans="1:28" ht="11.25" customHeight="1" x14ac:dyDescent="0.25">
      <c r="A31" s="114"/>
      <c r="B31" s="28" t="s">
        <v>75</v>
      </c>
      <c r="C31" s="28" t="s">
        <v>32</v>
      </c>
      <c r="D31" s="28" t="s">
        <v>80</v>
      </c>
      <c r="E31" s="28" t="s">
        <v>25</v>
      </c>
      <c r="F31" s="28" t="s">
        <v>25</v>
      </c>
      <c r="G31" s="29" t="s">
        <v>67</v>
      </c>
      <c r="H31" s="29" t="s">
        <v>60</v>
      </c>
      <c r="I31" s="29">
        <f>'MERCADO TE'!$U$28</f>
        <v>0</v>
      </c>
      <c r="J31" s="15"/>
      <c r="L31" s="26">
        <f>'TR TE'!$L$31*'TR TE'!$L$48</f>
        <v>0</v>
      </c>
      <c r="M31" s="26">
        <f>'TR TE'!$M$31*'TR TE'!$M$48</f>
        <v>0</v>
      </c>
      <c r="N31" s="26">
        <f>'TR TE'!$N$31*'TR TE'!$N$48</f>
        <v>0</v>
      </c>
      <c r="O31" s="26">
        <f>'TR TE'!$O$31*'TR TE'!$O$48</f>
        <v>0</v>
      </c>
      <c r="P31" s="26">
        <f>'TR TE'!$P$31*'TR TE'!$P$48</f>
        <v>0</v>
      </c>
      <c r="Q31" s="26">
        <f>SUM($L$31:$P$31)</f>
        <v>0</v>
      </c>
      <c r="R31" s="26">
        <f>'TR TE'!$R$31*'TR TE'!$R$48</f>
        <v>201.59985963617885</v>
      </c>
      <c r="S31" s="26">
        <f>SUM($R$31:$R$31)</f>
        <v>201.59985963617885</v>
      </c>
      <c r="T31" s="26">
        <f>'TR TE'!$T$31*'TR TE'!$T$48</f>
        <v>0</v>
      </c>
      <c r="U31" s="26">
        <f>'TR TE'!$U$31*'TR TE'!$U$48</f>
        <v>0</v>
      </c>
      <c r="V31" s="26">
        <f>'TR TE'!$V$31*'TR TE'!$V$48</f>
        <v>0</v>
      </c>
      <c r="W31" s="26">
        <f>SUM($T$31:$V$31)</f>
        <v>0</v>
      </c>
      <c r="X31" s="26"/>
      <c r="Y31" s="26">
        <f>SUM($X$31:$X$31)</f>
        <v>0</v>
      </c>
      <c r="Z31" s="26">
        <f>'TR TE'!$Z$31*'TR TE'!$Z$48</f>
        <v>0</v>
      </c>
      <c r="AA31" s="26">
        <f>SUM($Z$31:$Z$31)</f>
        <v>0</v>
      </c>
      <c r="AB31" s="26">
        <f>SUMIF($L$4:$AA$4,"SUBTOTAL",$L$31:$AA$31)</f>
        <v>201.59985963617885</v>
      </c>
    </row>
    <row r="32" spans="1:28" ht="11.25" customHeight="1" x14ac:dyDescent="0.25">
      <c r="A32" s="114"/>
      <c r="B32" s="114" t="s">
        <v>77</v>
      </c>
      <c r="C32" s="114" t="s">
        <v>32</v>
      </c>
      <c r="D32" s="28" t="s">
        <v>25</v>
      </c>
      <c r="E32" s="28" t="s">
        <v>25</v>
      </c>
      <c r="F32" s="28" t="s">
        <v>25</v>
      </c>
      <c r="G32" s="29" t="s">
        <v>67</v>
      </c>
      <c r="H32" s="29" t="s">
        <v>60</v>
      </c>
      <c r="I32" s="29">
        <f>'MERCADO TE'!$U$29</f>
        <v>0</v>
      </c>
      <c r="J32" s="15"/>
      <c r="L32" s="26">
        <f>'TR TE'!$L$32*'TR TE'!$L$48</f>
        <v>0</v>
      </c>
      <c r="M32" s="26">
        <f>'TR TE'!$M$32*'TR TE'!$M$48</f>
        <v>0</v>
      </c>
      <c r="N32" s="26">
        <f>'TR TE'!$N$32*'TR TE'!$N$48</f>
        <v>0</v>
      </c>
      <c r="O32" s="26">
        <f>'TR TE'!$O$32*'TR TE'!$O$48</f>
        <v>0</v>
      </c>
      <c r="P32" s="26">
        <f>'TR TE'!$P$32*'TR TE'!$P$48</f>
        <v>0</v>
      </c>
      <c r="Q32" s="26">
        <f>SUM($L$32:$P$32)</f>
        <v>0</v>
      </c>
      <c r="R32" s="26">
        <f>'TR TE'!$R$32*'TR TE'!$R$48</f>
        <v>201.59985963617885</v>
      </c>
      <c r="S32" s="26">
        <f>SUM($R$32:$R$32)</f>
        <v>201.59985963617885</v>
      </c>
      <c r="T32" s="26">
        <f>'TR TE'!$T$32*'TR TE'!$T$48</f>
        <v>0</v>
      </c>
      <c r="U32" s="26">
        <f>'TR TE'!$U$32*'TR TE'!$U$48</f>
        <v>0</v>
      </c>
      <c r="V32" s="26">
        <f>'TR TE'!$V$32*'TR TE'!$V$48</f>
        <v>0</v>
      </c>
      <c r="W32" s="26">
        <f>SUM($T$32:$V$32)</f>
        <v>0</v>
      </c>
      <c r="X32" s="26"/>
      <c r="Y32" s="26">
        <f>SUM($X$32:$X$32)</f>
        <v>0</v>
      </c>
      <c r="Z32" s="26">
        <f>'TR TE'!$Z$32*'TR TE'!$Z$48</f>
        <v>0</v>
      </c>
      <c r="AA32" s="26">
        <f>SUM($Z$32:$Z$32)</f>
        <v>0</v>
      </c>
      <c r="AB32" s="26">
        <f>SUMIF($L$4:$AA$4,"SUBTOTAL",$L$32:$AA$32)</f>
        <v>201.59985963617885</v>
      </c>
    </row>
    <row r="33" spans="1:28" ht="11.25" customHeight="1" x14ac:dyDescent="0.25">
      <c r="A33" s="114"/>
      <c r="B33" s="114"/>
      <c r="C33" s="114"/>
      <c r="D33" s="28" t="s">
        <v>79</v>
      </c>
      <c r="E33" s="28" t="s">
        <v>25</v>
      </c>
      <c r="F33" s="28" t="s">
        <v>25</v>
      </c>
      <c r="G33" s="29" t="s">
        <v>67</v>
      </c>
      <c r="H33" s="29" t="s">
        <v>60</v>
      </c>
      <c r="I33" s="29">
        <f>'MERCADO TE'!$U$30</f>
        <v>0</v>
      </c>
      <c r="J33" s="15"/>
      <c r="L33" s="26">
        <f>'TR TE'!$L$33*'TR TE'!$L$48</f>
        <v>0</v>
      </c>
      <c r="M33" s="26">
        <f>'TR TE'!$M$33*'TR TE'!$M$48</f>
        <v>0</v>
      </c>
      <c r="N33" s="26">
        <f>'TR TE'!$N$33*'TR TE'!$N$48</f>
        <v>0</v>
      </c>
      <c r="O33" s="26">
        <f>'TR TE'!$O$33*'TR TE'!$O$48</f>
        <v>0</v>
      </c>
      <c r="P33" s="26">
        <f>'TR TE'!$P$33*'TR TE'!$P$48</f>
        <v>0</v>
      </c>
      <c r="Q33" s="26">
        <f>SUM($L$33:$P$33)</f>
        <v>0</v>
      </c>
      <c r="R33" s="26">
        <f>'TR TE'!$R$33*'TR TE'!$R$48</f>
        <v>201.59985963617885</v>
      </c>
      <c r="S33" s="26">
        <f>SUM($R$33:$R$33)</f>
        <v>201.59985963617885</v>
      </c>
      <c r="T33" s="26">
        <f>'TR TE'!$T$33*'TR TE'!$T$48</f>
        <v>0</v>
      </c>
      <c r="U33" s="26">
        <f>'TR TE'!$U$33*'TR TE'!$U$48</f>
        <v>0</v>
      </c>
      <c r="V33" s="26">
        <f>'TR TE'!$V$33*'TR TE'!$V$48</f>
        <v>0</v>
      </c>
      <c r="W33" s="26">
        <f>SUM($T$33:$V$33)</f>
        <v>0</v>
      </c>
      <c r="X33" s="26"/>
      <c r="Y33" s="26">
        <f>SUM($X$33:$X$33)</f>
        <v>0</v>
      </c>
      <c r="Z33" s="26">
        <f>'TR TE'!$Z$33*'TR TE'!$Z$48</f>
        <v>0</v>
      </c>
      <c r="AA33" s="26">
        <f>SUM($Z$33:$Z$33)</f>
        <v>0</v>
      </c>
      <c r="AB33" s="26">
        <f>SUMIF($L$4:$AA$4,"SUBTOTAL",$L$33:$AA$33)</f>
        <v>201.59985963617885</v>
      </c>
    </row>
    <row r="34" spans="1:28" ht="11.25" customHeight="1" x14ac:dyDescent="0.25">
      <c r="A34" s="114"/>
      <c r="B34" s="114"/>
      <c r="C34" s="114"/>
      <c r="D34" s="28" t="s">
        <v>80</v>
      </c>
      <c r="E34" s="28" t="s">
        <v>25</v>
      </c>
      <c r="F34" s="28" t="s">
        <v>25</v>
      </c>
      <c r="G34" s="29" t="s">
        <v>67</v>
      </c>
      <c r="H34" s="29" t="s">
        <v>60</v>
      </c>
      <c r="I34" s="29">
        <f>'MERCADO TE'!$U$31</f>
        <v>0</v>
      </c>
      <c r="J34" s="15"/>
      <c r="L34" s="26">
        <f>'TR TE'!$L$34*'TR TE'!$L$48</f>
        <v>0</v>
      </c>
      <c r="M34" s="26">
        <f>'TR TE'!$M$34*'TR TE'!$M$48</f>
        <v>0</v>
      </c>
      <c r="N34" s="26">
        <f>'TR TE'!$N$34*'TR TE'!$N$48</f>
        <v>0</v>
      </c>
      <c r="O34" s="26">
        <f>'TR TE'!$O$34*'TR TE'!$O$48</f>
        <v>0</v>
      </c>
      <c r="P34" s="26">
        <f>'TR TE'!$P$34*'TR TE'!$P$48</f>
        <v>0</v>
      </c>
      <c r="Q34" s="26">
        <f>SUM($L$34:$P$34)</f>
        <v>0</v>
      </c>
      <c r="R34" s="26">
        <f>'TR TE'!$R$34*'TR TE'!$R$48</f>
        <v>201.59985963617885</v>
      </c>
      <c r="S34" s="26">
        <f>SUM($R$34:$R$34)</f>
        <v>201.59985963617885</v>
      </c>
      <c r="T34" s="26">
        <f>'TR TE'!$T$34*'TR TE'!$T$48</f>
        <v>0</v>
      </c>
      <c r="U34" s="26">
        <f>'TR TE'!$U$34*'TR TE'!$U$48</f>
        <v>0</v>
      </c>
      <c r="V34" s="26">
        <f>'TR TE'!$V$34*'TR TE'!$V$48</f>
        <v>0</v>
      </c>
      <c r="W34" s="26">
        <f>SUM($T$34:$V$34)</f>
        <v>0</v>
      </c>
      <c r="X34" s="26"/>
      <c r="Y34" s="26">
        <f>SUM($X$34:$X$34)</f>
        <v>0</v>
      </c>
      <c r="Z34" s="26">
        <f>'TR TE'!$Z$34*'TR TE'!$Z$48</f>
        <v>0</v>
      </c>
      <c r="AA34" s="26">
        <f>SUM($Z$34:$Z$34)</f>
        <v>0</v>
      </c>
      <c r="AB34" s="26">
        <f>SUMIF($L$4:$AA$4,"SUBTOTAL",$L$34:$AA$34)</f>
        <v>201.59985963617885</v>
      </c>
    </row>
    <row r="35" spans="1:28" ht="11.25" customHeight="1" x14ac:dyDescent="0.25">
      <c r="A35" s="114" t="s">
        <v>28</v>
      </c>
      <c r="B35" s="114" t="s">
        <v>59</v>
      </c>
      <c r="C35" s="114" t="s">
        <v>25</v>
      </c>
      <c r="D35" s="114" t="s">
        <v>25</v>
      </c>
      <c r="E35" s="114" t="s">
        <v>25</v>
      </c>
      <c r="F35" s="114" t="s">
        <v>25</v>
      </c>
      <c r="G35" s="29" t="s">
        <v>61</v>
      </c>
      <c r="H35" s="29" t="s">
        <v>60</v>
      </c>
      <c r="I35" s="29">
        <f>'MERCADO TE'!$U$32</f>
        <v>0</v>
      </c>
      <c r="J35" s="15"/>
      <c r="L35" s="26">
        <f>'TR TE'!$L$35*'TR TE'!$L$48</f>
        <v>0</v>
      </c>
      <c r="M35" s="26">
        <f>'TR TE'!$M$35*'TR TE'!$M$48</f>
        <v>0</v>
      </c>
      <c r="N35" s="26">
        <f>'TR TE'!$N$35*'TR TE'!$N$48</f>
        <v>0</v>
      </c>
      <c r="O35" s="26">
        <f>'TR TE'!$O$35*'TR TE'!$O$48</f>
        <v>0</v>
      </c>
      <c r="P35" s="26">
        <f>'TR TE'!$P$35*'TR TE'!$P$48</f>
        <v>0</v>
      </c>
      <c r="Q35" s="26">
        <f>SUM($L$35:$P$35)</f>
        <v>0</v>
      </c>
      <c r="R35" s="26">
        <f>'TR TE'!$R$35*'TR TE'!$R$48</f>
        <v>201.59985963617885</v>
      </c>
      <c r="S35" s="26">
        <f>SUM($R$35:$R$35)</f>
        <v>201.59985963617885</v>
      </c>
      <c r="T35" s="26">
        <f>'TR TE'!$T$35*'TR TE'!$T$48</f>
        <v>0</v>
      </c>
      <c r="U35" s="26">
        <f>'TR TE'!$U$35*'TR TE'!$U$48</f>
        <v>0</v>
      </c>
      <c r="V35" s="26">
        <f>'TR TE'!$V$35*'TR TE'!$V$48</f>
        <v>0</v>
      </c>
      <c r="W35" s="26">
        <f>SUM($T$35:$V$35)</f>
        <v>0</v>
      </c>
      <c r="X35" s="26"/>
      <c r="Y35" s="26">
        <f>SUM($X$35:$X$35)</f>
        <v>0</v>
      </c>
      <c r="Z35" s="26">
        <f>'TR TE'!$Z$35*'TR TE'!$Z$48</f>
        <v>0</v>
      </c>
      <c r="AA35" s="26">
        <f>SUM($Z$35:$Z$35)</f>
        <v>0</v>
      </c>
      <c r="AB35" s="26">
        <f>SUMIF($L$4:$AA$4,"SUBTOTAL",$L$35:$AA$35)</f>
        <v>201.59985963617885</v>
      </c>
    </row>
    <row r="36" spans="1:28" ht="11.25" customHeight="1" x14ac:dyDescent="0.25">
      <c r="A36" s="114"/>
      <c r="B36" s="114"/>
      <c r="C36" s="114"/>
      <c r="D36" s="114"/>
      <c r="E36" s="114"/>
      <c r="F36" s="114"/>
      <c r="G36" s="29" t="s">
        <v>74</v>
      </c>
      <c r="H36" s="29" t="s">
        <v>60</v>
      </c>
      <c r="I36" s="29">
        <f>'MERCADO TE'!$U$33</f>
        <v>0</v>
      </c>
      <c r="J36" s="15"/>
      <c r="L36" s="26">
        <f>'TR TE'!$L$36*'TR TE'!$L$48</f>
        <v>0</v>
      </c>
      <c r="M36" s="26">
        <f>'TR TE'!$M$36*'TR TE'!$M$48</f>
        <v>0</v>
      </c>
      <c r="N36" s="26">
        <f>'TR TE'!$N$36*'TR TE'!$N$48</f>
        <v>0</v>
      </c>
      <c r="O36" s="26">
        <f>'TR TE'!$O$36*'TR TE'!$O$48</f>
        <v>0</v>
      </c>
      <c r="P36" s="26">
        <f>'TR TE'!$P$36*'TR TE'!$P$48</f>
        <v>0</v>
      </c>
      <c r="Q36" s="26">
        <f>SUM($L$36:$P$36)</f>
        <v>0</v>
      </c>
      <c r="R36" s="26">
        <f>'TR TE'!$R$36*'TR TE'!$R$48</f>
        <v>201.59985963617885</v>
      </c>
      <c r="S36" s="26">
        <f>SUM($R$36:$R$36)</f>
        <v>201.59985963617885</v>
      </c>
      <c r="T36" s="26">
        <f>'TR TE'!$T$36*'TR TE'!$T$48</f>
        <v>0</v>
      </c>
      <c r="U36" s="26">
        <f>'TR TE'!$U$36*'TR TE'!$U$48</f>
        <v>0</v>
      </c>
      <c r="V36" s="26">
        <f>'TR TE'!$V$36*'TR TE'!$V$48</f>
        <v>0</v>
      </c>
      <c r="W36" s="26">
        <f>SUM($T$36:$V$36)</f>
        <v>0</v>
      </c>
      <c r="X36" s="26"/>
      <c r="Y36" s="26">
        <f>SUM($X$36:$X$36)</f>
        <v>0</v>
      </c>
      <c r="Z36" s="26">
        <f>'TR TE'!$Z$36*'TR TE'!$Z$48</f>
        <v>0</v>
      </c>
      <c r="AA36" s="26">
        <f>SUM($Z$36:$Z$36)</f>
        <v>0</v>
      </c>
      <c r="AB36" s="26">
        <f>SUMIF($L$4:$AA$4,"SUBTOTAL",$L$36:$AA$36)</f>
        <v>201.59985963617885</v>
      </c>
    </row>
    <row r="37" spans="1:28" ht="11.25" customHeight="1" x14ac:dyDescent="0.25">
      <c r="A37" s="114"/>
      <c r="B37" s="114"/>
      <c r="C37" s="114"/>
      <c r="D37" s="114"/>
      <c r="E37" s="114"/>
      <c r="F37" s="114"/>
      <c r="G37" s="29" t="s">
        <v>62</v>
      </c>
      <c r="H37" s="29" t="s">
        <v>60</v>
      </c>
      <c r="I37" s="29">
        <f>'MERCADO TE'!$U$34</f>
        <v>0</v>
      </c>
      <c r="J37" s="15"/>
      <c r="L37" s="26">
        <f>'TR TE'!$L$37*'TR TE'!$L$48</f>
        <v>0</v>
      </c>
      <c r="M37" s="26">
        <f>'TR TE'!$M$37*'TR TE'!$M$48</f>
        <v>0</v>
      </c>
      <c r="N37" s="26">
        <f>'TR TE'!$N$37*'TR TE'!$N$48</f>
        <v>0</v>
      </c>
      <c r="O37" s="26">
        <f>'TR TE'!$O$37*'TR TE'!$O$48</f>
        <v>0</v>
      </c>
      <c r="P37" s="26">
        <f>'TR TE'!$P$37*'TR TE'!$P$48</f>
        <v>0</v>
      </c>
      <c r="Q37" s="26">
        <f>SUM($L$37:$P$37)</f>
        <v>0</v>
      </c>
      <c r="R37" s="26">
        <f>'TR TE'!$R$37*'TR TE'!$R$48</f>
        <v>201.59985963617885</v>
      </c>
      <c r="S37" s="26">
        <f>SUM($R$37:$R$37)</f>
        <v>201.59985963617885</v>
      </c>
      <c r="T37" s="26">
        <f>'TR TE'!$T$37*'TR TE'!$T$48</f>
        <v>0</v>
      </c>
      <c r="U37" s="26">
        <f>'TR TE'!$U$37*'TR TE'!$U$48</f>
        <v>0</v>
      </c>
      <c r="V37" s="26">
        <f>'TR TE'!$V$37*'TR TE'!$V$48</f>
        <v>0</v>
      </c>
      <c r="W37" s="26">
        <f>SUM($T$37:$V$37)</f>
        <v>0</v>
      </c>
      <c r="X37" s="26"/>
      <c r="Y37" s="26">
        <f>SUM($X$37:$X$37)</f>
        <v>0</v>
      </c>
      <c r="Z37" s="26">
        <f>'TR TE'!$Z$37*'TR TE'!$Z$48</f>
        <v>0</v>
      </c>
      <c r="AA37" s="26">
        <f>SUM($Z$37:$Z$37)</f>
        <v>0</v>
      </c>
      <c r="AB37" s="26">
        <f>SUMIF($L$4:$AA$4,"SUBTOTAL",$L$37:$AA$37)</f>
        <v>201.59985963617885</v>
      </c>
    </row>
    <row r="38" spans="1:28" ht="11.25" customHeight="1" x14ac:dyDescent="0.25">
      <c r="A38" s="114"/>
      <c r="B38" s="28" t="s">
        <v>75</v>
      </c>
      <c r="C38" s="28" t="s">
        <v>25</v>
      </c>
      <c r="D38" s="28" t="s">
        <v>25</v>
      </c>
      <c r="E38" s="28" t="s">
        <v>25</v>
      </c>
      <c r="F38" s="28" t="s">
        <v>25</v>
      </c>
      <c r="G38" s="29" t="s">
        <v>67</v>
      </c>
      <c r="H38" s="29" t="s">
        <v>60</v>
      </c>
      <c r="I38" s="29">
        <f>'MERCADO TE'!$U$35</f>
        <v>3301.431</v>
      </c>
      <c r="J38" s="15"/>
      <c r="L38" s="26">
        <f>'TR TE'!$L$38*'TR TE'!$L$48</f>
        <v>0</v>
      </c>
      <c r="M38" s="26">
        <f>'TR TE'!$M$38*'TR TE'!$M$48</f>
        <v>0</v>
      </c>
      <c r="N38" s="26">
        <f>'TR TE'!$N$38*'TR TE'!$N$48</f>
        <v>0</v>
      </c>
      <c r="O38" s="26">
        <f>'TR TE'!$O$38*'TR TE'!$O$48</f>
        <v>0</v>
      </c>
      <c r="P38" s="26">
        <f>'TR TE'!$P$38*'TR TE'!$P$48</f>
        <v>0</v>
      </c>
      <c r="Q38" s="26">
        <f>SUM($L$38:$P$38)</f>
        <v>0</v>
      </c>
      <c r="R38" s="26">
        <f>'TR TE'!$R$38*'TR TE'!$R$48</f>
        <v>201.59985963617885</v>
      </c>
      <c r="S38" s="26">
        <f>SUM($R$38:$R$38)</f>
        <v>201.59985963617885</v>
      </c>
      <c r="T38" s="26">
        <f>'TR TE'!$T$38*'TR TE'!$T$48</f>
        <v>0</v>
      </c>
      <c r="U38" s="26">
        <f>'TR TE'!$U$38*'TR TE'!$U$48</f>
        <v>0</v>
      </c>
      <c r="V38" s="26">
        <f>'TR TE'!$V$38*'TR TE'!$V$48</f>
        <v>0</v>
      </c>
      <c r="W38" s="26">
        <f>SUM($T$38:$V$38)</f>
        <v>0</v>
      </c>
      <c r="X38" s="26"/>
      <c r="Y38" s="26">
        <f>SUM($X$38:$X$38)</f>
        <v>0</v>
      </c>
      <c r="Z38" s="26">
        <f>'TR TE'!$Z$38*'TR TE'!$Z$48</f>
        <v>0</v>
      </c>
      <c r="AA38" s="26">
        <f>SUM($Z$38:$Z$38)</f>
        <v>0</v>
      </c>
      <c r="AB38" s="26">
        <f>SUMIF($L$4:$AA$4,"SUBTOTAL",$L$38:$AA$38)</f>
        <v>201.59985963617885</v>
      </c>
    </row>
    <row r="39" spans="1:28" ht="11.25" customHeight="1" x14ac:dyDescent="0.25">
      <c r="A39" s="114"/>
      <c r="B39" s="28" t="s">
        <v>77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67</v>
      </c>
      <c r="H39" s="29" t="s">
        <v>60</v>
      </c>
      <c r="I39" s="29">
        <f>'MERCADO TE'!$U$36</f>
        <v>0</v>
      </c>
      <c r="J39" s="15"/>
      <c r="L39" s="26">
        <f>'TR TE'!$L$39*'TR TE'!$L$48</f>
        <v>0</v>
      </c>
      <c r="M39" s="26">
        <f>'TR TE'!$M$39*'TR TE'!$M$48</f>
        <v>0</v>
      </c>
      <c r="N39" s="26">
        <f>'TR TE'!$N$39*'TR TE'!$N$48</f>
        <v>0</v>
      </c>
      <c r="O39" s="26">
        <f>'TR TE'!$O$39*'TR TE'!$O$48</f>
        <v>0</v>
      </c>
      <c r="P39" s="26">
        <f>'TR TE'!$P$39*'TR TE'!$P$48</f>
        <v>0</v>
      </c>
      <c r="Q39" s="26">
        <f>SUM($L$39:$P$39)</f>
        <v>0</v>
      </c>
      <c r="R39" s="26">
        <f>'TR TE'!$R$39*'TR TE'!$R$48</f>
        <v>201.59985963617885</v>
      </c>
      <c r="S39" s="26">
        <f>SUM($R$39:$R$39)</f>
        <v>201.59985963617885</v>
      </c>
      <c r="T39" s="26">
        <f>'TR TE'!$T$39*'TR TE'!$T$48</f>
        <v>0</v>
      </c>
      <c r="U39" s="26">
        <f>'TR TE'!$U$39*'TR TE'!$U$48</f>
        <v>0</v>
      </c>
      <c r="V39" s="26">
        <f>'TR TE'!$V$39*'TR TE'!$V$48</f>
        <v>0</v>
      </c>
      <c r="W39" s="26">
        <f>SUM($T$39:$V$39)</f>
        <v>0</v>
      </c>
      <c r="X39" s="26"/>
      <c r="Y39" s="26">
        <f>SUM($X$39:$X$39)</f>
        <v>0</v>
      </c>
      <c r="Z39" s="26">
        <f>'TR TE'!$Z$39*'TR TE'!$Z$48</f>
        <v>0</v>
      </c>
      <c r="AA39" s="26">
        <f>SUM($Z$39:$Z$39)</f>
        <v>0</v>
      </c>
      <c r="AB39" s="26">
        <f>SUMIF($L$4:$AA$4,"SUBTOTAL",$L$39:$AA$39)</f>
        <v>201.59985963617885</v>
      </c>
    </row>
    <row r="40" spans="1:28" ht="11.25" customHeight="1" x14ac:dyDescent="0.25">
      <c r="A40" s="114" t="s">
        <v>34</v>
      </c>
      <c r="B40" s="114" t="s">
        <v>75</v>
      </c>
      <c r="C40" s="114" t="s">
        <v>35</v>
      </c>
      <c r="D40" s="28" t="s">
        <v>36</v>
      </c>
      <c r="E40" s="28" t="s">
        <v>25</v>
      </c>
      <c r="F40" s="28" t="s">
        <v>25</v>
      </c>
      <c r="G40" s="29" t="s">
        <v>67</v>
      </c>
      <c r="H40" s="29" t="s">
        <v>60</v>
      </c>
      <c r="I40" s="29">
        <f>'MERCADO TE'!$U$37</f>
        <v>274.32500000000005</v>
      </c>
      <c r="J40" s="15"/>
      <c r="L40" s="26">
        <f>'TR TE'!$L$40*'TR TE'!$L$48</f>
        <v>0</v>
      </c>
      <c r="M40" s="26">
        <f>'TR TE'!$M$40*'TR TE'!$M$48</f>
        <v>0</v>
      </c>
      <c r="N40" s="26">
        <f>'TR TE'!$N$40*'TR TE'!$N$48</f>
        <v>0</v>
      </c>
      <c r="O40" s="26">
        <f>'TR TE'!$O$40*'TR TE'!$O$48</f>
        <v>0</v>
      </c>
      <c r="P40" s="26">
        <f>'TR TE'!$P$40*'TR TE'!$P$48</f>
        <v>0</v>
      </c>
      <c r="Q40" s="26">
        <f>SUM($L$40:$P$40)</f>
        <v>0</v>
      </c>
      <c r="R40" s="26">
        <f>'TR TE'!$R$40*'TR TE'!$R$48</f>
        <v>110.87992279989838</v>
      </c>
      <c r="S40" s="26">
        <f>SUM($R$40:$R$40)</f>
        <v>110.87992279989838</v>
      </c>
      <c r="T40" s="26">
        <f>'TR TE'!$T$40*'TR TE'!$T$48</f>
        <v>0</v>
      </c>
      <c r="U40" s="26">
        <f>'TR TE'!$U$40*'TR TE'!$U$48</f>
        <v>0</v>
      </c>
      <c r="V40" s="26">
        <f>'TR TE'!$V$40*'TR TE'!$V$48</f>
        <v>0</v>
      </c>
      <c r="W40" s="26">
        <f>SUM($T$40:$V$40)</f>
        <v>0</v>
      </c>
      <c r="X40" s="26"/>
      <c r="Y40" s="26">
        <f>SUM($X$40:$X$40)</f>
        <v>0</v>
      </c>
      <c r="Z40" s="26">
        <f>'TR TE'!$Z$40*'TR TE'!$Z$48</f>
        <v>0</v>
      </c>
      <c r="AA40" s="26">
        <f>SUM($Z$40:$Z$40)</f>
        <v>0</v>
      </c>
      <c r="AB40" s="26">
        <f>SUMIF($L$4:$AA$4,"SUBTOTAL",$L$40:$AA$40)</f>
        <v>110.87992279989838</v>
      </c>
    </row>
    <row r="41" spans="1:28" ht="11.25" customHeight="1" x14ac:dyDescent="0.25">
      <c r="A41" s="114"/>
      <c r="B41" s="114"/>
      <c r="C41" s="114"/>
      <c r="D41" s="29" t="s">
        <v>81</v>
      </c>
      <c r="E41" s="29" t="s">
        <v>25</v>
      </c>
      <c r="F41" s="29" t="s">
        <v>25</v>
      </c>
      <c r="G41" s="29" t="s">
        <v>67</v>
      </c>
      <c r="H41" s="29" t="s">
        <v>60</v>
      </c>
      <c r="I41" s="29">
        <f>'MERCADO TE'!$U$38</f>
        <v>0</v>
      </c>
      <c r="J41" s="15"/>
      <c r="L41" s="26">
        <f>'TR TE'!$L$41*'TR TE'!$L$48</f>
        <v>0</v>
      </c>
      <c r="M41" s="26">
        <f>'TR TE'!$M$41*'TR TE'!$M$48</f>
        <v>0</v>
      </c>
      <c r="N41" s="26">
        <f>'TR TE'!$N$41*'TR TE'!$N$48</f>
        <v>0</v>
      </c>
      <c r="O41" s="26">
        <f>'TR TE'!$O$41*'TR TE'!$O$48</f>
        <v>0</v>
      </c>
      <c r="P41" s="26">
        <f>'TR TE'!$P$41*'TR TE'!$P$48</f>
        <v>0</v>
      </c>
      <c r="Q41" s="26">
        <f>SUM($L$41:$P$41)</f>
        <v>0</v>
      </c>
      <c r="R41" s="26">
        <f>'TR TE'!$R$41*'TR TE'!$R$48</f>
        <v>120.95991578170731</v>
      </c>
      <c r="S41" s="26">
        <f>SUM($R$41:$R$41)</f>
        <v>120.95991578170731</v>
      </c>
      <c r="T41" s="26">
        <f>'TR TE'!$T$41*'TR TE'!$T$48</f>
        <v>0</v>
      </c>
      <c r="U41" s="26">
        <f>'TR TE'!$U$41*'TR TE'!$U$48</f>
        <v>0</v>
      </c>
      <c r="V41" s="26">
        <f>'TR TE'!$V$41*'TR TE'!$V$48</f>
        <v>0</v>
      </c>
      <c r="W41" s="26">
        <f>SUM($T$41:$V$41)</f>
        <v>0</v>
      </c>
      <c r="X41" s="26"/>
      <c r="Y41" s="26">
        <f>SUM($X$41:$X$41)</f>
        <v>0</v>
      </c>
      <c r="Z41" s="26">
        <f>'TR TE'!$Z$41*'TR TE'!$Z$48</f>
        <v>0</v>
      </c>
      <c r="AA41" s="26">
        <f>SUM($Z$41:$Z$41)</f>
        <v>0</v>
      </c>
      <c r="AB41" s="26">
        <f>SUMIF($L$4:$AA$4,"SUBTOTAL",$L$41:$AA$41)</f>
        <v>120.95991578170731</v>
      </c>
    </row>
    <row r="43" spans="1:28" ht="11.25" customHeight="1" x14ac:dyDescent="0.25">
      <c r="K43" s="31" t="s">
        <v>387</v>
      </c>
      <c r="L43" s="26">
        <f t="shared" ref="L43:AB43" si="0">SUMPRODUCT($I$5:$I$41,L$5:L$41)</f>
        <v>0</v>
      </c>
      <c r="M43" s="26">
        <f t="shared" si="0"/>
        <v>0</v>
      </c>
      <c r="N43" s="26">
        <f t="shared" si="0"/>
        <v>0</v>
      </c>
      <c r="O43" s="26">
        <f t="shared" si="0"/>
        <v>0</v>
      </c>
      <c r="P43" s="26">
        <f t="shared" si="0"/>
        <v>0</v>
      </c>
      <c r="Q43" s="26">
        <f t="shared" si="0"/>
        <v>0</v>
      </c>
      <c r="R43" s="26">
        <f t="shared" si="0"/>
        <v>2671968.4028430753</v>
      </c>
      <c r="S43" s="26">
        <f t="shared" si="0"/>
        <v>2671968.4028430753</v>
      </c>
      <c r="T43" s="26">
        <f t="shared" si="0"/>
        <v>0</v>
      </c>
      <c r="U43" s="26">
        <f t="shared" si="0"/>
        <v>0</v>
      </c>
      <c r="V43" s="26">
        <f t="shared" si="0"/>
        <v>0</v>
      </c>
      <c r="W43" s="26">
        <f t="shared" si="0"/>
        <v>0</v>
      </c>
      <c r="X43" s="26">
        <f t="shared" si="0"/>
        <v>0</v>
      </c>
      <c r="Y43" s="26">
        <f t="shared" si="0"/>
        <v>0</v>
      </c>
      <c r="Z43" s="26">
        <f t="shared" si="0"/>
        <v>0</v>
      </c>
      <c r="AA43" s="26">
        <f t="shared" si="0"/>
        <v>0</v>
      </c>
      <c r="AB43" s="26">
        <f t="shared" si="0"/>
        <v>2671968.4028430753</v>
      </c>
    </row>
    <row r="44" spans="1:28" ht="11.25" customHeight="1" x14ac:dyDescent="0.25">
      <c r="K44" s="31" t="s">
        <v>305</v>
      </c>
      <c r="L44" s="26">
        <f>CUSTOS!$D$30</f>
        <v>0</v>
      </c>
      <c r="M44" s="26">
        <f>CUSTOS!$D$31</f>
        <v>0</v>
      </c>
      <c r="N44" s="26">
        <f>CUSTOS!$D$32</f>
        <v>0</v>
      </c>
      <c r="O44" s="26">
        <f>CUSTOS!$D$33</f>
        <v>0</v>
      </c>
      <c r="P44" s="26">
        <f>CUSTOS!$D$34</f>
        <v>0</v>
      </c>
      <c r="Q44" s="26">
        <f>CUSTOS!$D$35</f>
        <v>0</v>
      </c>
      <c r="R44" s="26">
        <f>CUSTOS!$D$36</f>
        <v>2671968.4028430749</v>
      </c>
      <c r="S44" s="26">
        <f>CUSTOS!$D$37</f>
        <v>2671968.4028430749</v>
      </c>
      <c r="T44" s="26">
        <f>CUSTOS!$D$38</f>
        <v>0</v>
      </c>
      <c r="U44" s="26">
        <f>CUSTOS!$D$39</f>
        <v>0</v>
      </c>
      <c r="V44" s="26">
        <f>CUSTOS!$D$40</f>
        <v>0</v>
      </c>
      <c r="W44" s="26">
        <f>CUSTOS!$D$41</f>
        <v>0</v>
      </c>
      <c r="X44" s="26">
        <f>CUSTOS!$D$42</f>
        <v>0</v>
      </c>
      <c r="Y44" s="26">
        <f>CUSTOS!$D$43</f>
        <v>0</v>
      </c>
      <c r="Z44" s="26">
        <f>CUSTOS!$D$44</f>
        <v>0</v>
      </c>
      <c r="AA44" s="26">
        <f>CUSTOS!$D$45</f>
        <v>0</v>
      </c>
      <c r="AB44" s="26">
        <f>CUSTOS!$D$46</f>
        <v>2671968.4028430749</v>
      </c>
    </row>
    <row r="45" spans="1:28" ht="11.25" customHeight="1" x14ac:dyDescent="0.25">
      <c r="K45" s="31" t="s">
        <v>306</v>
      </c>
      <c r="L45" s="26">
        <f>CUSTOS!$E$30</f>
        <v>0</v>
      </c>
      <c r="M45" s="26">
        <f>CUSTOS!$E$31</f>
        <v>0</v>
      </c>
      <c r="N45" s="26">
        <f>CUSTOS!$E$32</f>
        <v>0</v>
      </c>
      <c r="O45" s="26">
        <f>CUSTOS!$E$33</f>
        <v>0</v>
      </c>
      <c r="P45" s="26">
        <f>CUSTOS!$E$34</f>
        <v>0</v>
      </c>
      <c r="Q45" s="26">
        <f>CUSTOS!$E$35</f>
        <v>0</v>
      </c>
      <c r="R45" s="26">
        <f>CUSTOS!$E$36</f>
        <v>-125900.21720948769</v>
      </c>
      <c r="S45" s="26">
        <f>CUSTOS!$E$37</f>
        <v>-125900.21720948769</v>
      </c>
      <c r="T45" s="26">
        <f>CUSTOS!$E$38</f>
        <v>0</v>
      </c>
      <c r="U45" s="26">
        <f>CUSTOS!$E$39</f>
        <v>0</v>
      </c>
      <c r="V45" s="26">
        <f>CUSTOS!$E$40</f>
        <v>0</v>
      </c>
      <c r="W45" s="26">
        <f>CUSTOS!$E$41</f>
        <v>0</v>
      </c>
      <c r="X45" s="26">
        <f>CUSTOS!$E$42</f>
        <v>0</v>
      </c>
      <c r="Y45" s="26">
        <f>CUSTOS!$E$43</f>
        <v>0</v>
      </c>
      <c r="Z45" s="26">
        <f>CUSTOS!$E$44</f>
        <v>0</v>
      </c>
      <c r="AA45" s="26">
        <f>CUSTOS!$E$45</f>
        <v>0</v>
      </c>
      <c r="AB45" s="26">
        <f>CUSTOS!$E$46</f>
        <v>-125900.21720948769</v>
      </c>
    </row>
    <row r="46" spans="1:28" ht="11.25" customHeight="1" x14ac:dyDescent="0.25">
      <c r="K46" s="31" t="s">
        <v>307</v>
      </c>
      <c r="L46" s="26">
        <f>CUSTOS!$F$30</f>
        <v>0</v>
      </c>
      <c r="M46" s="26">
        <f>CUSTOS!$F$31</f>
        <v>0</v>
      </c>
      <c r="N46" s="26">
        <f>CUSTOS!$F$32</f>
        <v>0</v>
      </c>
      <c r="O46" s="26">
        <f>CUSTOS!$F$33</f>
        <v>0</v>
      </c>
      <c r="P46" s="26">
        <f>CUSTOS!$F$34</f>
        <v>0</v>
      </c>
      <c r="Q46" s="26">
        <f>CUSTOS!$F$35</f>
        <v>0</v>
      </c>
      <c r="R46" s="26">
        <f>CUSTOS!$F$36</f>
        <v>0</v>
      </c>
      <c r="S46" s="26">
        <f>CUSTOS!$F$37</f>
        <v>0</v>
      </c>
      <c r="T46" s="26">
        <f>CUSTOS!$F$38</f>
        <v>0</v>
      </c>
      <c r="U46" s="26">
        <f>CUSTOS!$F$39</f>
        <v>0</v>
      </c>
      <c r="V46" s="26">
        <f>CUSTOS!$F$40</f>
        <v>0</v>
      </c>
      <c r="W46" s="26">
        <f>CUSTOS!$F$41</f>
        <v>0</v>
      </c>
      <c r="X46" s="26">
        <f>CUSTOS!$F$42</f>
        <v>0</v>
      </c>
      <c r="Y46" s="26">
        <f>CUSTOS!$F$43</f>
        <v>0</v>
      </c>
      <c r="Z46" s="26">
        <f>CUSTOS!$F$44</f>
        <v>0</v>
      </c>
      <c r="AA46" s="26">
        <f>CUSTOS!$F$45</f>
        <v>0</v>
      </c>
      <c r="AB46" s="26">
        <f>CUSTOS!$F$46</f>
        <v>0</v>
      </c>
    </row>
    <row r="47" spans="1:28" ht="11.25" customHeight="1" x14ac:dyDescent="0.25">
      <c r="K47" s="31" t="s">
        <v>388</v>
      </c>
      <c r="L47" s="26">
        <f>'TR TE'!$L$47*L48</f>
        <v>0</v>
      </c>
      <c r="M47" s="26">
        <f>'TR TE'!$M$47*M48</f>
        <v>0</v>
      </c>
      <c r="N47" s="26">
        <f>'TR TE'!$N$47*N48</f>
        <v>0</v>
      </c>
      <c r="O47" s="26">
        <f>'TR TE'!$O$47*O48</f>
        <v>0</v>
      </c>
      <c r="P47" s="26">
        <f>'TR TE'!$P$47*P48</f>
        <v>0</v>
      </c>
      <c r="Q47" s="26"/>
      <c r="R47" s="26">
        <f>'TR TE'!$R$47*R48</f>
        <v>-9.5877541704938771</v>
      </c>
      <c r="S47" s="26"/>
      <c r="T47" s="26">
        <f>'TR TE'!$T$47*T48</f>
        <v>0</v>
      </c>
      <c r="U47" s="26">
        <f>'TR TE'!$U$47*U48</f>
        <v>0</v>
      </c>
      <c r="V47" s="26">
        <f>'TR TE'!$V$47*V48</f>
        <v>0</v>
      </c>
      <c r="W47" s="26"/>
      <c r="X47" s="26"/>
      <c r="Y47" s="26"/>
      <c r="Z47" s="26">
        <f>'TR TE'!$Z$47*Z48</f>
        <v>0</v>
      </c>
      <c r="AA47" s="26"/>
      <c r="AB47" s="26"/>
    </row>
    <row r="48" spans="1:28" ht="11.25" customHeight="1" x14ac:dyDescent="0.25">
      <c r="K48" s="31" t="s">
        <v>375</v>
      </c>
      <c r="L48" s="26">
        <f>IF(L44&lt;&gt;0,L45/L44,0)</f>
        <v>0</v>
      </c>
      <c r="M48" s="26">
        <f>IF(M44&lt;&gt;0,M45/M44,0)</f>
        <v>0</v>
      </c>
      <c r="N48" s="26">
        <f>IF(N44&lt;&gt;0,N45/N44,0)</f>
        <v>0</v>
      </c>
      <c r="O48" s="26">
        <f>IF(O44&lt;&gt;0,O45/O44,0)</f>
        <v>0</v>
      </c>
      <c r="P48" s="26">
        <f>IF(P44&lt;&gt;0,P45/P44,0)</f>
        <v>0</v>
      </c>
      <c r="Q48" s="26"/>
      <c r="R48" s="26">
        <f>IF(R44&lt;&gt;0,R45/R44,0)</f>
        <v>-4.7118901958393342E-2</v>
      </c>
      <c r="S48" s="26"/>
      <c r="T48" s="26">
        <f>IF(T44&lt;&gt;0,T45/T44,0)</f>
        <v>0</v>
      </c>
      <c r="U48" s="26">
        <f>IF(U44&lt;&gt;0,U45/U44,0)</f>
        <v>0</v>
      </c>
      <c r="V48" s="26">
        <f>IF(V44&lt;&gt;0,V45/V44,0)</f>
        <v>0</v>
      </c>
      <c r="W48" s="26"/>
      <c r="X48" s="26">
        <f>IF(($AB44-0)&lt;&gt;0,X45/($AB44-0),0)</f>
        <v>0</v>
      </c>
      <c r="Y48" s="26"/>
      <c r="Z48" s="26">
        <f>IF(Z44&lt;&gt;0,Z45/Z44,0)</f>
        <v>0</v>
      </c>
      <c r="AA48" s="26"/>
      <c r="AB48" s="26"/>
    </row>
    <row r="49" spans="11:28" ht="11.25" customHeight="1" x14ac:dyDescent="0.25">
      <c r="K49" s="31" t="s">
        <v>390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</sheetData>
  <mergeCells count="61">
    <mergeCell ref="E35:E37"/>
    <mergeCell ref="F35:F37"/>
    <mergeCell ref="A40:A41"/>
    <mergeCell ref="B40:B41"/>
    <mergeCell ref="C40:C41"/>
    <mergeCell ref="D35:D37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A7:A19"/>
    <mergeCell ref="B7:B9"/>
    <mergeCell ref="C7:C9"/>
    <mergeCell ref="D7:D9"/>
    <mergeCell ref="E7:E9"/>
    <mergeCell ref="F7:F9"/>
    <mergeCell ref="B10:B14"/>
    <mergeCell ref="C10:C14"/>
    <mergeCell ref="B15:B19"/>
    <mergeCell ref="C15:C19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  <mergeCell ref="A1:A4"/>
    <mergeCell ref="B1:B4"/>
    <mergeCell ref="C1:C4"/>
    <mergeCell ref="D1:D4"/>
    <mergeCell ref="E1:E4"/>
    <mergeCell ref="F1:F4"/>
  </mergeCells>
  <conditionalFormatting sqref="L43">
    <cfRule type="cellIs" dxfId="554" priority="33" operator="notEqual">
      <formula>$L$44</formula>
    </cfRule>
    <cfRule type="cellIs" dxfId="553" priority="34" operator="equal">
      <formula>$L$44</formula>
    </cfRule>
  </conditionalFormatting>
  <conditionalFormatting sqref="M43">
    <cfRule type="cellIs" dxfId="552" priority="31" operator="notEqual">
      <formula>$M$44</formula>
    </cfRule>
    <cfRule type="cellIs" dxfId="551" priority="32" operator="equal">
      <formula>$M$44</formula>
    </cfRule>
  </conditionalFormatting>
  <conditionalFormatting sqref="N43">
    <cfRule type="cellIs" dxfId="550" priority="29" operator="notEqual">
      <formula>$N$44</formula>
    </cfRule>
    <cfRule type="cellIs" dxfId="549" priority="30" operator="equal">
      <formula>$N$44</formula>
    </cfRule>
  </conditionalFormatting>
  <conditionalFormatting sqref="O43">
    <cfRule type="cellIs" dxfId="548" priority="27" operator="notEqual">
      <formula>$O$44</formula>
    </cfRule>
    <cfRule type="cellIs" dxfId="547" priority="28" operator="equal">
      <formula>$O$44</formula>
    </cfRule>
  </conditionalFormatting>
  <conditionalFormatting sqref="P43">
    <cfRule type="cellIs" dxfId="546" priority="25" operator="notEqual">
      <formula>$P$44</formula>
    </cfRule>
    <cfRule type="cellIs" dxfId="545" priority="26" operator="equal">
      <formula>$P$44</formula>
    </cfRule>
  </conditionalFormatting>
  <conditionalFormatting sqref="Q43">
    <cfRule type="cellIs" dxfId="544" priority="23" operator="notEqual">
      <formula>$Q$44</formula>
    </cfRule>
    <cfRule type="cellIs" dxfId="543" priority="24" operator="equal">
      <formula>$Q$44</formula>
    </cfRule>
  </conditionalFormatting>
  <conditionalFormatting sqref="R43">
    <cfRule type="cellIs" dxfId="542" priority="21" operator="notEqual">
      <formula>$R$44</formula>
    </cfRule>
    <cfRule type="cellIs" dxfId="541" priority="22" operator="equal">
      <formula>$R$44</formula>
    </cfRule>
  </conditionalFormatting>
  <conditionalFormatting sqref="S43">
    <cfRule type="cellIs" dxfId="540" priority="19" operator="notEqual">
      <formula>$S$44</formula>
    </cfRule>
    <cfRule type="cellIs" dxfId="539" priority="20" operator="equal">
      <formula>$S$44</formula>
    </cfRule>
  </conditionalFormatting>
  <conditionalFormatting sqref="T43">
    <cfRule type="cellIs" dxfId="538" priority="17" operator="notEqual">
      <formula>$T$44</formula>
    </cfRule>
    <cfRule type="cellIs" dxfId="537" priority="18" operator="equal">
      <formula>$T$44</formula>
    </cfRule>
  </conditionalFormatting>
  <conditionalFormatting sqref="U43">
    <cfRule type="cellIs" dxfId="536" priority="15" operator="notEqual">
      <formula>$U$44</formula>
    </cfRule>
    <cfRule type="cellIs" dxfId="535" priority="16" operator="equal">
      <formula>$U$44</formula>
    </cfRule>
  </conditionalFormatting>
  <conditionalFormatting sqref="V43">
    <cfRule type="cellIs" dxfId="534" priority="13" operator="notEqual">
      <formula>$V$44</formula>
    </cfRule>
    <cfRule type="cellIs" dxfId="533" priority="14" operator="equal">
      <formula>$V$44</formula>
    </cfRule>
  </conditionalFormatting>
  <conditionalFormatting sqref="W43">
    <cfRule type="cellIs" dxfId="532" priority="11" operator="notEqual">
      <formula>$W$44</formula>
    </cfRule>
    <cfRule type="cellIs" dxfId="531" priority="12" operator="equal">
      <formula>$W$44</formula>
    </cfRule>
  </conditionalFormatting>
  <conditionalFormatting sqref="X43">
    <cfRule type="cellIs" dxfId="530" priority="9" operator="notEqual">
      <formula>$X$44</formula>
    </cfRule>
    <cfRule type="cellIs" dxfId="529" priority="10" operator="equal">
      <formula>$X$44</formula>
    </cfRule>
  </conditionalFormatting>
  <conditionalFormatting sqref="Y43">
    <cfRule type="cellIs" dxfId="528" priority="7" operator="notEqual">
      <formula>$Y$44</formula>
    </cfRule>
    <cfRule type="cellIs" dxfId="527" priority="8" operator="equal">
      <formula>$Y$44</formula>
    </cfRule>
  </conditionalFormatting>
  <conditionalFormatting sqref="Z43">
    <cfRule type="cellIs" dxfId="526" priority="5" operator="notEqual">
      <formula>$Z$44</formula>
    </cfRule>
    <cfRule type="cellIs" dxfId="525" priority="6" operator="equal">
      <formula>$Z$44</formula>
    </cfRule>
  </conditionalFormatting>
  <conditionalFormatting sqref="AA43">
    <cfRule type="cellIs" dxfId="524" priority="3" operator="notEqual">
      <formula>$AA$44</formula>
    </cfRule>
    <cfRule type="cellIs" dxfId="523" priority="4" operator="equal">
      <formula>$AA$44</formula>
    </cfRule>
  </conditionalFormatting>
  <conditionalFormatting sqref="AB43">
    <cfRule type="cellIs" dxfId="522" priority="1" operator="notEqual">
      <formula>$AB$44</formula>
    </cfRule>
    <cfRule type="cellIs" dxfId="521" priority="2" operator="equal">
      <formula>$AB$44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9193-45CC-41A8-8AE2-B4BAC1204D3A}">
  <sheetPr codeName="Planilha14"/>
  <dimension ref="A1:AB49"/>
  <sheetViews>
    <sheetView showGridLines="0" topLeftCell="L25" workbookViewId="0">
      <selection activeCell="AB43" sqref="AB43"/>
    </sheetView>
  </sheetViews>
  <sheetFormatPr defaultColWidth="9.140625"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113" t="s">
        <v>49</v>
      </c>
      <c r="B1" s="113" t="s">
        <v>50</v>
      </c>
      <c r="C1" s="113" t="s">
        <v>51</v>
      </c>
      <c r="D1" s="113" t="s">
        <v>52</v>
      </c>
      <c r="E1" s="113" t="s">
        <v>53</v>
      </c>
      <c r="F1" s="113" t="s">
        <v>15</v>
      </c>
      <c r="G1" s="113" t="s">
        <v>55</v>
      </c>
      <c r="H1" s="113" t="s">
        <v>56</v>
      </c>
      <c r="I1" s="113" t="s">
        <v>365</v>
      </c>
      <c r="J1" s="96"/>
      <c r="L1" s="111" t="s">
        <v>392</v>
      </c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</row>
    <row r="2" spans="1:28" ht="11.2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96"/>
      <c r="L2" s="111" t="s">
        <v>291</v>
      </c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1:28" ht="11.2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96"/>
      <c r="L3" s="111" t="s">
        <v>264</v>
      </c>
      <c r="M3" s="111"/>
      <c r="N3" s="111"/>
      <c r="O3" s="111"/>
      <c r="P3" s="111"/>
      <c r="Q3" s="111"/>
      <c r="R3" s="111" t="s">
        <v>295</v>
      </c>
      <c r="S3" s="111"/>
      <c r="T3" s="111" t="s">
        <v>273</v>
      </c>
      <c r="U3" s="111"/>
      <c r="V3" s="111"/>
      <c r="W3" s="111"/>
      <c r="X3" s="111" t="s">
        <v>283</v>
      </c>
      <c r="Y3" s="111"/>
      <c r="Z3" s="111" t="s">
        <v>286</v>
      </c>
      <c r="AA3" s="111"/>
      <c r="AB3" s="111" t="s">
        <v>272</v>
      </c>
    </row>
    <row r="4" spans="1:28" ht="11.2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96"/>
      <c r="L4" s="30" t="s">
        <v>266</v>
      </c>
      <c r="M4" s="30" t="s">
        <v>292</v>
      </c>
      <c r="N4" s="30" t="s">
        <v>293</v>
      </c>
      <c r="O4" s="30" t="s">
        <v>353</v>
      </c>
      <c r="P4" s="30" t="s">
        <v>294</v>
      </c>
      <c r="Q4" s="30" t="s">
        <v>272</v>
      </c>
      <c r="R4" s="30" t="s">
        <v>296</v>
      </c>
      <c r="S4" s="30" t="s">
        <v>272</v>
      </c>
      <c r="T4" s="30" t="s">
        <v>297</v>
      </c>
      <c r="U4" s="30" t="s">
        <v>298</v>
      </c>
      <c r="V4" s="30" t="s">
        <v>299</v>
      </c>
      <c r="W4" s="30" t="s">
        <v>272</v>
      </c>
      <c r="X4" s="30" t="s">
        <v>284</v>
      </c>
      <c r="Y4" s="30" t="s">
        <v>272</v>
      </c>
      <c r="Z4" s="30" t="s">
        <v>300</v>
      </c>
      <c r="AA4" s="30" t="s">
        <v>272</v>
      </c>
      <c r="AB4" s="112"/>
    </row>
    <row r="5" spans="1:28" ht="11.25" customHeight="1" x14ac:dyDescent="0.25">
      <c r="A5" s="114" t="s">
        <v>58</v>
      </c>
      <c r="B5" s="114" t="s">
        <v>59</v>
      </c>
      <c r="C5" s="114" t="s">
        <v>25</v>
      </c>
      <c r="D5" s="114" t="s">
        <v>25</v>
      </c>
      <c r="E5" s="114" t="s">
        <v>25</v>
      </c>
      <c r="F5" s="114" t="s">
        <v>25</v>
      </c>
      <c r="G5" s="29" t="s">
        <v>61</v>
      </c>
      <c r="H5" s="29" t="s">
        <v>60</v>
      </c>
      <c r="I5" s="29">
        <f>'MERCADO TE'!$U$2</f>
        <v>0</v>
      </c>
      <c r="J5" s="15"/>
      <c r="L5" s="26">
        <f>'TE BE'!$L$5*'TE BE'!$L$48</f>
        <v>0</v>
      </c>
      <c r="M5" s="26">
        <f>'TE BE'!$M$5*'TE BE'!$M$48</f>
        <v>0</v>
      </c>
      <c r="N5" s="26">
        <f>'TE BE'!$N$5*'TE BE'!$N$48</f>
        <v>0</v>
      </c>
      <c r="O5" s="26">
        <f>'TE BE'!$O$5*'TE BE'!$O$48</f>
        <v>0</v>
      </c>
      <c r="P5" s="26">
        <f>'TE BE'!$P$5*'TE BE'!$P$48</f>
        <v>0</v>
      </c>
      <c r="Q5" s="26">
        <f>SUM($L$5:$P$5)</f>
        <v>0</v>
      </c>
      <c r="R5" s="26">
        <f>'TE BE'!$R$5*'TE BE'!$R$48</f>
        <v>-9.4991640210229704</v>
      </c>
      <c r="S5" s="26">
        <f>SUM($R$5:$R$5)</f>
        <v>-9.4991640210229704</v>
      </c>
      <c r="T5" s="26">
        <f>'TE BE'!$T$5*'TE BE'!$T$48</f>
        <v>0</v>
      </c>
      <c r="U5" s="26">
        <f>'TE BE'!$U$5*'TE BE'!$U$48</f>
        <v>0</v>
      </c>
      <c r="V5" s="26">
        <f>'TE BE'!$V$5*'TE BE'!$V$48</f>
        <v>0</v>
      </c>
      <c r="W5" s="26">
        <f>SUM($T$5:$V$5)</f>
        <v>0</v>
      </c>
      <c r="X5" s="26">
        <f>'TE BE'!$AB$5*'TE BE'!$X$48</f>
        <v>0</v>
      </c>
      <c r="Y5" s="26">
        <f>SUM($X$5:$X$5)</f>
        <v>0</v>
      </c>
      <c r="Z5" s="26">
        <f>'TE BE'!$Z$5*'TE BE'!$Z$48</f>
        <v>0</v>
      </c>
      <c r="AA5" s="26">
        <f>SUM($Z$5:$Z$5)</f>
        <v>0</v>
      </c>
      <c r="AB5" s="26">
        <f>SUMIF($L$4:$AA$4,"SUBTOTAL",$L$5:$AA$5)</f>
        <v>-9.4991640210229704</v>
      </c>
    </row>
    <row r="6" spans="1:28" ht="11.25" customHeight="1" x14ac:dyDescent="0.25">
      <c r="A6" s="114"/>
      <c r="B6" s="114"/>
      <c r="C6" s="114"/>
      <c r="D6" s="114"/>
      <c r="E6" s="114"/>
      <c r="F6" s="114"/>
      <c r="G6" s="29" t="s">
        <v>62</v>
      </c>
      <c r="H6" s="29" t="s">
        <v>60</v>
      </c>
      <c r="I6" s="29">
        <f>'MERCADO TE'!$U$3</f>
        <v>0</v>
      </c>
      <c r="J6" s="15"/>
      <c r="L6" s="26">
        <f>'TE BE'!$L$6*'TE BE'!$L$48</f>
        <v>0</v>
      </c>
      <c r="M6" s="26">
        <f>'TE BE'!$M$6*'TE BE'!$M$48</f>
        <v>0</v>
      </c>
      <c r="N6" s="26">
        <f>'TE BE'!$N$6*'TE BE'!$N$48</f>
        <v>0</v>
      </c>
      <c r="O6" s="26">
        <f>'TE BE'!$O$6*'TE BE'!$O$48</f>
        <v>0</v>
      </c>
      <c r="P6" s="26">
        <f>'TE BE'!$P$6*'TE BE'!$P$48</f>
        <v>0</v>
      </c>
      <c r="Q6" s="26">
        <f>SUM($L$6:$P$6)</f>
        <v>0</v>
      </c>
      <c r="R6" s="26">
        <f>'TE BE'!$R$6*'TE BE'!$R$48</f>
        <v>-9.4991640210229704</v>
      </c>
      <c r="S6" s="26">
        <f>SUM($R$6:$R$6)</f>
        <v>-9.4991640210229704</v>
      </c>
      <c r="T6" s="26">
        <f>'TE BE'!$T$6*'TE BE'!$T$48</f>
        <v>0</v>
      </c>
      <c r="U6" s="26">
        <f>'TE BE'!$U$6*'TE BE'!$U$48</f>
        <v>0</v>
      </c>
      <c r="V6" s="26">
        <f>'TE BE'!$V$6*'TE BE'!$V$48</f>
        <v>0</v>
      </c>
      <c r="W6" s="26">
        <f>SUM($T$6:$V$6)</f>
        <v>0</v>
      </c>
      <c r="X6" s="26">
        <f>'TE BE'!$AB$6*'TE BE'!$X$48</f>
        <v>0</v>
      </c>
      <c r="Y6" s="26">
        <f>SUM($X$6:$X$6)</f>
        <v>0</v>
      </c>
      <c r="Z6" s="26">
        <f>'TE BE'!$Z$6*'TE BE'!$Z$48</f>
        <v>0</v>
      </c>
      <c r="AA6" s="26">
        <f>SUM($Z$6:$Z$6)</f>
        <v>0</v>
      </c>
      <c r="AB6" s="26">
        <f>SUMIF($L$4:$AA$4,"SUBTOTAL",$L$6:$AA$6)</f>
        <v>-9.4991640210229704</v>
      </c>
    </row>
    <row r="7" spans="1:28" ht="11.25" customHeight="1" x14ac:dyDescent="0.25">
      <c r="A7" s="114" t="s">
        <v>22</v>
      </c>
      <c r="B7" s="114" t="s">
        <v>59</v>
      </c>
      <c r="C7" s="114" t="s">
        <v>24</v>
      </c>
      <c r="D7" s="114" t="s">
        <v>24</v>
      </c>
      <c r="E7" s="114" t="s">
        <v>25</v>
      </c>
      <c r="F7" s="114" t="s">
        <v>25</v>
      </c>
      <c r="G7" s="29" t="s">
        <v>61</v>
      </c>
      <c r="H7" s="29" t="s">
        <v>60</v>
      </c>
      <c r="I7" s="29">
        <f>'MERCADO TE'!$U$4</f>
        <v>0</v>
      </c>
      <c r="J7" s="15"/>
      <c r="L7" s="26">
        <f>'TE BE'!$L$7*'TE BE'!$L$48</f>
        <v>0</v>
      </c>
      <c r="M7" s="26">
        <f>'TE BE'!$M$7*'TE BE'!$M$48</f>
        <v>0</v>
      </c>
      <c r="N7" s="26">
        <f>'TE BE'!$N$7*'TE BE'!$N$48</f>
        <v>0</v>
      </c>
      <c r="O7" s="26">
        <f>'TE BE'!$O$7*'TE BE'!$O$48</f>
        <v>0</v>
      </c>
      <c r="P7" s="26">
        <f>'TE BE'!$P$7*'TE BE'!$P$48</f>
        <v>0</v>
      </c>
      <c r="Q7" s="26">
        <f>SUM($L$7:$P$7)</f>
        <v>0</v>
      </c>
      <c r="R7" s="26">
        <f>'TE BE'!$R$7*'TE BE'!$R$48</f>
        <v>-9.4991640210229704</v>
      </c>
      <c r="S7" s="26">
        <f>SUM($R$7:$R$7)</f>
        <v>-9.4991640210229704</v>
      </c>
      <c r="T7" s="26">
        <f>'TE BE'!$T$7*'TE BE'!$T$48</f>
        <v>0</v>
      </c>
      <c r="U7" s="26">
        <f>'TE BE'!$U$7*'TE BE'!$U$48</f>
        <v>0</v>
      </c>
      <c r="V7" s="26">
        <f>'TE BE'!$V$7*'TE BE'!$V$48</f>
        <v>0</v>
      </c>
      <c r="W7" s="26">
        <f>SUM($T$7:$V$7)</f>
        <v>0</v>
      </c>
      <c r="X7" s="26">
        <f>'TE BE'!$AB$7*'TE BE'!$X$48</f>
        <v>0</v>
      </c>
      <c r="Y7" s="26">
        <f>SUM($X$7:$X$7)</f>
        <v>0</v>
      </c>
      <c r="Z7" s="26">
        <f>'TE BE'!$Z$7*'TE BE'!$Z$48</f>
        <v>0</v>
      </c>
      <c r="AA7" s="26">
        <f>SUM($Z$7:$Z$7)</f>
        <v>0</v>
      </c>
      <c r="AB7" s="26">
        <f>SUMIF($L$4:$AA$4,"SUBTOTAL",$L$7:$AA$7)</f>
        <v>-9.4991640210229704</v>
      </c>
    </row>
    <row r="8" spans="1:28" ht="11.25" customHeight="1" x14ac:dyDescent="0.25">
      <c r="A8" s="114"/>
      <c r="B8" s="114"/>
      <c r="C8" s="114"/>
      <c r="D8" s="114"/>
      <c r="E8" s="114"/>
      <c r="F8" s="114"/>
      <c r="G8" s="29" t="s">
        <v>74</v>
      </c>
      <c r="H8" s="29" t="s">
        <v>60</v>
      </c>
      <c r="I8" s="29">
        <f>'MERCADO TE'!$U$5</f>
        <v>0</v>
      </c>
      <c r="J8" s="15"/>
      <c r="L8" s="26">
        <f>'TE BE'!$L$8*'TE BE'!$L$48</f>
        <v>0</v>
      </c>
      <c r="M8" s="26">
        <f>'TE BE'!$M$8*'TE BE'!$M$48</f>
        <v>0</v>
      </c>
      <c r="N8" s="26">
        <f>'TE BE'!$N$8*'TE BE'!$N$48</f>
        <v>0</v>
      </c>
      <c r="O8" s="26">
        <f>'TE BE'!$O$8*'TE BE'!$O$48</f>
        <v>0</v>
      </c>
      <c r="P8" s="26">
        <f>'TE BE'!$P$8*'TE BE'!$P$48</f>
        <v>0</v>
      </c>
      <c r="Q8" s="26">
        <f>SUM($L$8:$P$8)</f>
        <v>0</v>
      </c>
      <c r="R8" s="26">
        <f>'TE BE'!$R$8*'TE BE'!$R$48</f>
        <v>-9.4991640210229704</v>
      </c>
      <c r="S8" s="26">
        <f>SUM($R$8:$R$8)</f>
        <v>-9.4991640210229704</v>
      </c>
      <c r="T8" s="26">
        <f>'TE BE'!$T$8*'TE BE'!$T$48</f>
        <v>0</v>
      </c>
      <c r="U8" s="26">
        <f>'TE BE'!$U$8*'TE BE'!$U$48</f>
        <v>0</v>
      </c>
      <c r="V8" s="26">
        <f>'TE BE'!$V$8*'TE BE'!$V$48</f>
        <v>0</v>
      </c>
      <c r="W8" s="26">
        <f>SUM($T$8:$V$8)</f>
        <v>0</v>
      </c>
      <c r="X8" s="26">
        <f>'TE BE'!$AB$8*'TE BE'!$X$48</f>
        <v>0</v>
      </c>
      <c r="Y8" s="26">
        <f>SUM($X$8:$X$8)</f>
        <v>0</v>
      </c>
      <c r="Z8" s="26">
        <f>'TE BE'!$Z$8*'TE BE'!$Z$48</f>
        <v>0</v>
      </c>
      <c r="AA8" s="26">
        <f>SUM($Z$8:$Z$8)</f>
        <v>0</v>
      </c>
      <c r="AB8" s="26">
        <f>SUMIF($L$4:$AA$4,"SUBTOTAL",$L$8:$AA$8)</f>
        <v>-9.4991640210229704</v>
      </c>
    </row>
    <row r="9" spans="1:28" ht="11.25" customHeight="1" x14ac:dyDescent="0.25">
      <c r="A9" s="114"/>
      <c r="B9" s="114"/>
      <c r="C9" s="114"/>
      <c r="D9" s="114"/>
      <c r="E9" s="114"/>
      <c r="F9" s="114"/>
      <c r="G9" s="29" t="s">
        <v>62</v>
      </c>
      <c r="H9" s="29" t="s">
        <v>60</v>
      </c>
      <c r="I9" s="29">
        <f>'MERCADO TE'!$U$6</f>
        <v>0</v>
      </c>
      <c r="J9" s="15"/>
      <c r="L9" s="26">
        <f>'TE BE'!$L$9*'TE BE'!$L$48</f>
        <v>0</v>
      </c>
      <c r="M9" s="26">
        <f>'TE BE'!$M$9*'TE BE'!$M$48</f>
        <v>0</v>
      </c>
      <c r="N9" s="26">
        <f>'TE BE'!$N$9*'TE BE'!$N$48</f>
        <v>0</v>
      </c>
      <c r="O9" s="26">
        <f>'TE BE'!$O$9*'TE BE'!$O$48</f>
        <v>0</v>
      </c>
      <c r="P9" s="26">
        <f>'TE BE'!$P$9*'TE BE'!$P$48</f>
        <v>0</v>
      </c>
      <c r="Q9" s="26">
        <f>SUM($L$9:$P$9)</f>
        <v>0</v>
      </c>
      <c r="R9" s="26">
        <f>'TE BE'!$R$9*'TE BE'!$R$48</f>
        <v>-9.4991640210229704</v>
      </c>
      <c r="S9" s="26">
        <f>SUM($R$9:$R$9)</f>
        <v>-9.4991640210229704</v>
      </c>
      <c r="T9" s="26">
        <f>'TE BE'!$T$9*'TE BE'!$T$48</f>
        <v>0</v>
      </c>
      <c r="U9" s="26">
        <f>'TE BE'!$U$9*'TE BE'!$U$48</f>
        <v>0</v>
      </c>
      <c r="V9" s="26">
        <f>'TE BE'!$V$9*'TE BE'!$V$48</f>
        <v>0</v>
      </c>
      <c r="W9" s="26">
        <f>SUM($T$9:$V$9)</f>
        <v>0</v>
      </c>
      <c r="X9" s="26">
        <f>'TE BE'!$AB$9*'TE BE'!$X$48</f>
        <v>0</v>
      </c>
      <c r="Y9" s="26">
        <f>SUM($X$9:$X$9)</f>
        <v>0</v>
      </c>
      <c r="Z9" s="26">
        <f>'TE BE'!$Z$9*'TE BE'!$Z$48</f>
        <v>0</v>
      </c>
      <c r="AA9" s="26">
        <f>SUM($Z$9:$Z$9)</f>
        <v>0</v>
      </c>
      <c r="AB9" s="26">
        <f>SUMIF($L$4:$AA$4,"SUBTOTAL",$L$9:$AA$9)</f>
        <v>-9.4991640210229704</v>
      </c>
    </row>
    <row r="10" spans="1:28" ht="11.25" customHeight="1" x14ac:dyDescent="0.25">
      <c r="A10" s="114"/>
      <c r="B10" s="114" t="s">
        <v>75</v>
      </c>
      <c r="C10" s="114" t="s">
        <v>24</v>
      </c>
      <c r="D10" s="28" t="s">
        <v>24</v>
      </c>
      <c r="E10" s="28" t="s">
        <v>25</v>
      </c>
      <c r="F10" s="28" t="s">
        <v>25</v>
      </c>
      <c r="G10" s="29" t="s">
        <v>67</v>
      </c>
      <c r="H10" s="29" t="s">
        <v>60</v>
      </c>
      <c r="I10" s="29">
        <f>'MERCADO TE'!$U$7</f>
        <v>3454.3520000000003</v>
      </c>
      <c r="J10" s="15"/>
      <c r="L10" s="26">
        <f>'TE BE'!$L$10*'TE BE'!$L$48</f>
        <v>0</v>
      </c>
      <c r="M10" s="26">
        <f>'TE BE'!$M$10*'TE BE'!$M$48</f>
        <v>0</v>
      </c>
      <c r="N10" s="26">
        <f>'TE BE'!$N$10*'TE BE'!$N$48</f>
        <v>0</v>
      </c>
      <c r="O10" s="26">
        <f>'TE BE'!$O$10*'TE BE'!$O$48</f>
        <v>0</v>
      </c>
      <c r="P10" s="26">
        <f>'TE BE'!$P$10*'TE BE'!$P$48</f>
        <v>0</v>
      </c>
      <c r="Q10" s="26">
        <f>SUM($L$10:$P$10)</f>
        <v>0</v>
      </c>
      <c r="R10" s="26">
        <f>'TE BE'!$R$10*'TE BE'!$R$48</f>
        <v>-9.4991640210229704</v>
      </c>
      <c r="S10" s="26">
        <f>SUM($R$10:$R$10)</f>
        <v>-9.4991640210229704</v>
      </c>
      <c r="T10" s="26">
        <f>'TE BE'!$T$10*'TE BE'!$T$48</f>
        <v>0</v>
      </c>
      <c r="U10" s="26">
        <f>'TE BE'!$U$10*'TE BE'!$U$48</f>
        <v>0</v>
      </c>
      <c r="V10" s="26">
        <f>'TE BE'!$V$10*'TE BE'!$V$48</f>
        <v>0</v>
      </c>
      <c r="W10" s="26">
        <f>SUM($T$10:$V$10)</f>
        <v>0</v>
      </c>
      <c r="X10" s="26">
        <f>'TE BE'!$AB$10*'TE BE'!$X$48</f>
        <v>0</v>
      </c>
      <c r="Y10" s="26">
        <f>SUM($X$10:$X$10)</f>
        <v>0</v>
      </c>
      <c r="Z10" s="26">
        <f>'TE BE'!$Z$10*'TE BE'!$Z$48</f>
        <v>0</v>
      </c>
      <c r="AA10" s="26">
        <f>SUM($Z$10:$Z$10)</f>
        <v>0</v>
      </c>
      <c r="AB10" s="26">
        <f>SUMIF($L$4:$AA$4,"SUBTOTAL",$L$10:$AA$10)</f>
        <v>-9.4991640210229704</v>
      </c>
    </row>
    <row r="11" spans="1:28" ht="11.25" customHeight="1" x14ac:dyDescent="0.25">
      <c r="A11" s="114"/>
      <c r="B11" s="114"/>
      <c r="C11" s="114"/>
      <c r="D11" s="28" t="s">
        <v>41</v>
      </c>
      <c r="E11" s="28" t="s">
        <v>25</v>
      </c>
      <c r="F11" s="28" t="s">
        <v>25</v>
      </c>
      <c r="G11" s="29" t="s">
        <v>67</v>
      </c>
      <c r="H11" s="29" t="s">
        <v>60</v>
      </c>
      <c r="I11" s="29">
        <f>'MERCADO TE'!$U$8</f>
        <v>0.48000000000000009</v>
      </c>
      <c r="J11" s="15"/>
      <c r="L11" s="26">
        <f>'TE BE'!$L$11*'TE BE'!$L$48</f>
        <v>0</v>
      </c>
      <c r="M11" s="26">
        <f>'TE BE'!$M$11*'TE BE'!$M$48</f>
        <v>0</v>
      </c>
      <c r="N11" s="26">
        <f>'TE BE'!$N$11*'TE BE'!$N$48</f>
        <v>0</v>
      </c>
      <c r="O11" s="26">
        <f>'TE BE'!$O$11*'TE BE'!$O$48</f>
        <v>0</v>
      </c>
      <c r="P11" s="26">
        <f>'TE BE'!$P$11*'TE BE'!$P$48</f>
        <v>0</v>
      </c>
      <c r="Q11" s="26">
        <f>SUM($L$11:$P$11)</f>
        <v>0</v>
      </c>
      <c r="R11" s="26">
        <f>'TE BE'!$R$11*'TE BE'!$R$48</f>
        <v>-9.4991640210229704</v>
      </c>
      <c r="S11" s="26">
        <f>SUM($R$11:$R$11)</f>
        <v>-9.4991640210229704</v>
      </c>
      <c r="T11" s="26">
        <f>'TE BE'!$T$11*'TE BE'!$T$48</f>
        <v>0</v>
      </c>
      <c r="U11" s="26">
        <f>'TE BE'!$U$11*'TE BE'!$U$48</f>
        <v>0</v>
      </c>
      <c r="V11" s="26">
        <f>'TE BE'!$V$11*'TE BE'!$V$48</f>
        <v>0</v>
      </c>
      <c r="W11" s="26">
        <f>SUM($T$11:$V$11)</f>
        <v>0</v>
      </c>
      <c r="X11" s="26">
        <f>'TE BE'!$AB$11*'TE BE'!$X$48</f>
        <v>0</v>
      </c>
      <c r="Y11" s="26">
        <f>SUM($X$11:$X$11)</f>
        <v>0</v>
      </c>
      <c r="Z11" s="26">
        <f>'TE BE'!$Z$11*'TE BE'!$Z$48</f>
        <v>0</v>
      </c>
      <c r="AA11" s="26">
        <f>SUM($Z$11:$Z$11)</f>
        <v>0</v>
      </c>
      <c r="AB11" s="26">
        <f>SUMIF($L$4:$AA$4,"SUBTOTAL",$L$11:$AA$11)</f>
        <v>-9.4991640210229704</v>
      </c>
    </row>
    <row r="12" spans="1:28" ht="11.25" customHeight="1" x14ac:dyDescent="0.25">
      <c r="A12" s="114"/>
      <c r="B12" s="114"/>
      <c r="C12" s="114"/>
      <c r="D12" s="28" t="s">
        <v>42</v>
      </c>
      <c r="E12" s="28" t="s">
        <v>25</v>
      </c>
      <c r="F12" s="28" t="s">
        <v>25</v>
      </c>
      <c r="G12" s="29" t="s">
        <v>67</v>
      </c>
      <c r="H12" s="29" t="s">
        <v>60</v>
      </c>
      <c r="I12" s="29">
        <f>'MERCADO TE'!$U$9</f>
        <v>7.3130000000000006</v>
      </c>
      <c r="J12" s="15"/>
      <c r="L12" s="26">
        <f>'TE BE'!$L$12*'TE BE'!$L$48</f>
        <v>0</v>
      </c>
      <c r="M12" s="26">
        <f>'TE BE'!$M$12*'TE BE'!$M$48</f>
        <v>0</v>
      </c>
      <c r="N12" s="26">
        <f>'TE BE'!$N$12*'TE BE'!$N$48</f>
        <v>0</v>
      </c>
      <c r="O12" s="26">
        <f>'TE BE'!$O$12*'TE BE'!$O$48</f>
        <v>0</v>
      </c>
      <c r="P12" s="26">
        <f>'TE BE'!$P$12*'TE BE'!$P$48</f>
        <v>0</v>
      </c>
      <c r="Q12" s="26">
        <f>SUM($L$12:$P$12)</f>
        <v>0</v>
      </c>
      <c r="R12" s="26">
        <f>'TE BE'!$R$12*'TE BE'!$R$48</f>
        <v>-9.4991640210229704</v>
      </c>
      <c r="S12" s="26">
        <f>SUM($R$12:$R$12)</f>
        <v>-9.4991640210229704</v>
      </c>
      <c r="T12" s="26">
        <f>'TE BE'!$T$12*'TE BE'!$T$48</f>
        <v>0</v>
      </c>
      <c r="U12" s="26">
        <f>'TE BE'!$U$12*'TE BE'!$U$48</f>
        <v>0</v>
      </c>
      <c r="V12" s="26">
        <f>'TE BE'!$V$12*'TE BE'!$V$48</f>
        <v>0</v>
      </c>
      <c r="W12" s="26">
        <f>SUM($T$12:$V$12)</f>
        <v>0</v>
      </c>
      <c r="X12" s="26">
        <f>'TE BE'!$AB$12*'TE BE'!$X$48</f>
        <v>0</v>
      </c>
      <c r="Y12" s="26">
        <f>SUM($X$12:$X$12)</f>
        <v>0</v>
      </c>
      <c r="Z12" s="26">
        <f>'TE BE'!$Z$12*'TE BE'!$Z$48</f>
        <v>0</v>
      </c>
      <c r="AA12" s="26">
        <f>SUM($Z$12:$Z$12)</f>
        <v>0</v>
      </c>
      <c r="AB12" s="26">
        <f>SUMIF($L$4:$AA$4,"SUBTOTAL",$L$12:$AA$12)</f>
        <v>-9.4991640210229704</v>
      </c>
    </row>
    <row r="13" spans="1:28" ht="11.25" customHeight="1" x14ac:dyDescent="0.25">
      <c r="A13" s="114"/>
      <c r="B13" s="114"/>
      <c r="C13" s="114"/>
      <c r="D13" s="28" t="s">
        <v>39</v>
      </c>
      <c r="E13" s="28" t="s">
        <v>25</v>
      </c>
      <c r="F13" s="28" t="s">
        <v>25</v>
      </c>
      <c r="G13" s="29" t="s">
        <v>67</v>
      </c>
      <c r="H13" s="29" t="s">
        <v>60</v>
      </c>
      <c r="I13" s="29">
        <f>'MERCADO TE'!$U$10</f>
        <v>77.287999999999997</v>
      </c>
      <c r="J13" s="15"/>
      <c r="L13" s="26">
        <f>'TE BE'!$L$13*'TE BE'!$L$48</f>
        <v>0</v>
      </c>
      <c r="M13" s="26">
        <f>'TE BE'!$M$13*'TE BE'!$M$48</f>
        <v>0</v>
      </c>
      <c r="N13" s="26">
        <f>'TE BE'!$N$13*'TE BE'!$N$48</f>
        <v>0</v>
      </c>
      <c r="O13" s="26">
        <f>'TE BE'!$O$13*'TE BE'!$O$48</f>
        <v>0</v>
      </c>
      <c r="P13" s="26">
        <f>'TE BE'!$P$13*'TE BE'!$P$48</f>
        <v>0</v>
      </c>
      <c r="Q13" s="26">
        <f>SUM($L$13:$P$13)</f>
        <v>0</v>
      </c>
      <c r="R13" s="26">
        <f>'TE BE'!$R$13*'TE BE'!$R$48</f>
        <v>-9.4991640210229704</v>
      </c>
      <c r="S13" s="26">
        <f>SUM($R$13:$R$13)</f>
        <v>-9.4991640210229704</v>
      </c>
      <c r="T13" s="26">
        <f>'TE BE'!$T$13*'TE BE'!$T$48</f>
        <v>0</v>
      </c>
      <c r="U13" s="26">
        <f>'TE BE'!$U$13*'TE BE'!$U$48</f>
        <v>0</v>
      </c>
      <c r="V13" s="26">
        <f>'TE BE'!$V$13*'TE BE'!$V$48</f>
        <v>0</v>
      </c>
      <c r="W13" s="26">
        <f>SUM($T$13:$V$13)</f>
        <v>0</v>
      </c>
      <c r="X13" s="26">
        <f>'TE BE'!$AB$13*'TE BE'!$X$48</f>
        <v>0</v>
      </c>
      <c r="Y13" s="26">
        <f>SUM($X$13:$X$13)</f>
        <v>0</v>
      </c>
      <c r="Z13" s="26">
        <f>'TE BE'!$Z$13*'TE BE'!$Z$48</f>
        <v>0</v>
      </c>
      <c r="AA13" s="26">
        <f>SUM($Z$13:$Z$13)</f>
        <v>0</v>
      </c>
      <c r="AB13" s="26">
        <f>SUMIF($L$4:$AA$4,"SUBTOTAL",$L$13:$AA$13)</f>
        <v>-9.4991640210229704</v>
      </c>
    </row>
    <row r="14" spans="1:28" ht="11.25" customHeight="1" x14ac:dyDescent="0.25">
      <c r="A14" s="114"/>
      <c r="B14" s="114"/>
      <c r="C14" s="114"/>
      <c r="D14" s="28" t="s">
        <v>40</v>
      </c>
      <c r="E14" s="28" t="s">
        <v>25</v>
      </c>
      <c r="F14" s="28" t="s">
        <v>25</v>
      </c>
      <c r="G14" s="29" t="s">
        <v>67</v>
      </c>
      <c r="H14" s="29" t="s">
        <v>60</v>
      </c>
      <c r="I14" s="29">
        <f>'MERCADO TE'!$U$11</f>
        <v>81.510999999999996</v>
      </c>
      <c r="J14" s="15"/>
      <c r="L14" s="26">
        <f>'TE BE'!$L$14*'TE BE'!$L$48</f>
        <v>0</v>
      </c>
      <c r="M14" s="26">
        <f>'TE BE'!$M$14*'TE BE'!$M$48</f>
        <v>0</v>
      </c>
      <c r="N14" s="26">
        <f>'TE BE'!$N$14*'TE BE'!$N$48</f>
        <v>0</v>
      </c>
      <c r="O14" s="26">
        <f>'TE BE'!$O$14*'TE BE'!$O$48</f>
        <v>0</v>
      </c>
      <c r="P14" s="26">
        <f>'TE BE'!$P$14*'TE BE'!$P$48</f>
        <v>0</v>
      </c>
      <c r="Q14" s="26">
        <f>SUM($L$14:$P$14)</f>
        <v>0</v>
      </c>
      <c r="R14" s="26">
        <f>'TE BE'!$R$14*'TE BE'!$R$48</f>
        <v>-9.4991640210229704</v>
      </c>
      <c r="S14" s="26">
        <f>SUM($R$14:$R$14)</f>
        <v>-9.4991640210229704</v>
      </c>
      <c r="T14" s="26">
        <f>'TE BE'!$T$14*'TE BE'!$T$48</f>
        <v>0</v>
      </c>
      <c r="U14" s="26">
        <f>'TE BE'!$U$14*'TE BE'!$U$48</f>
        <v>0</v>
      </c>
      <c r="V14" s="26">
        <f>'TE BE'!$V$14*'TE BE'!$V$48</f>
        <v>0</v>
      </c>
      <c r="W14" s="26">
        <f>SUM($T$14:$V$14)</f>
        <v>0</v>
      </c>
      <c r="X14" s="26">
        <f>'TE BE'!$AB$14*'TE BE'!$X$48</f>
        <v>0</v>
      </c>
      <c r="Y14" s="26">
        <f>SUM($X$14:$X$14)</f>
        <v>0</v>
      </c>
      <c r="Z14" s="26">
        <f>'TE BE'!$Z$14*'TE BE'!$Z$48</f>
        <v>0</v>
      </c>
      <c r="AA14" s="26">
        <f>SUM($Z$14:$Z$14)</f>
        <v>0</v>
      </c>
      <c r="AB14" s="26">
        <f>SUMIF($L$4:$AA$4,"SUBTOTAL",$L$14:$AA$14)</f>
        <v>-9.4991640210229704</v>
      </c>
    </row>
    <row r="15" spans="1:28" ht="11.25" customHeight="1" x14ac:dyDescent="0.25">
      <c r="A15" s="114"/>
      <c r="B15" s="114" t="s">
        <v>77</v>
      </c>
      <c r="C15" s="114" t="s">
        <v>24</v>
      </c>
      <c r="D15" s="28" t="s">
        <v>24</v>
      </c>
      <c r="E15" s="28" t="s">
        <v>25</v>
      </c>
      <c r="F15" s="28" t="s">
        <v>25</v>
      </c>
      <c r="G15" s="29" t="s">
        <v>67</v>
      </c>
      <c r="H15" s="29" t="s">
        <v>60</v>
      </c>
      <c r="I15" s="29">
        <f>'MERCADO TE'!$U$12</f>
        <v>0</v>
      </c>
      <c r="J15" s="15"/>
      <c r="L15" s="26">
        <f>'TE BE'!$L$15*'TE BE'!$L$48</f>
        <v>0</v>
      </c>
      <c r="M15" s="26">
        <f>'TE BE'!$M$15*'TE BE'!$M$48</f>
        <v>0</v>
      </c>
      <c r="N15" s="26">
        <f>'TE BE'!$N$15*'TE BE'!$N$48</f>
        <v>0</v>
      </c>
      <c r="O15" s="26">
        <f>'TE BE'!$O$15*'TE BE'!$O$48</f>
        <v>0</v>
      </c>
      <c r="P15" s="26">
        <f>'TE BE'!$P$15*'TE BE'!$P$48</f>
        <v>0</v>
      </c>
      <c r="Q15" s="26">
        <f>SUM($L$15:$P$15)</f>
        <v>0</v>
      </c>
      <c r="R15" s="26">
        <f>'TE BE'!$R$15*'TE BE'!$R$48</f>
        <v>-9.4991640210229704</v>
      </c>
      <c r="S15" s="26">
        <f>SUM($R$15:$R$15)</f>
        <v>-9.4991640210229704</v>
      </c>
      <c r="T15" s="26">
        <f>'TE BE'!$T$15*'TE BE'!$T$48</f>
        <v>0</v>
      </c>
      <c r="U15" s="26">
        <f>'TE BE'!$U$15*'TE BE'!$U$48</f>
        <v>0</v>
      </c>
      <c r="V15" s="26">
        <f>'TE BE'!$V$15*'TE BE'!$V$48</f>
        <v>0</v>
      </c>
      <c r="W15" s="26">
        <f>SUM($T$15:$V$15)</f>
        <v>0</v>
      </c>
      <c r="X15" s="26">
        <f>'TE BE'!$AB$15*'TE BE'!$X$48</f>
        <v>0</v>
      </c>
      <c r="Y15" s="26">
        <f>SUM($X$15:$X$15)</f>
        <v>0</v>
      </c>
      <c r="Z15" s="26">
        <f>'TE BE'!$Z$15*'TE BE'!$Z$48</f>
        <v>0</v>
      </c>
      <c r="AA15" s="26">
        <f>SUM($Z$15:$Z$15)</f>
        <v>0</v>
      </c>
      <c r="AB15" s="26">
        <f>SUMIF($L$4:$AA$4,"SUBTOTAL",$L$15:$AA$15)</f>
        <v>-9.4991640210229704</v>
      </c>
    </row>
    <row r="16" spans="1:28" ht="11.25" customHeight="1" x14ac:dyDescent="0.25">
      <c r="A16" s="114"/>
      <c r="B16" s="114"/>
      <c r="C16" s="114"/>
      <c r="D16" s="28" t="s">
        <v>41</v>
      </c>
      <c r="E16" s="28" t="s">
        <v>25</v>
      </c>
      <c r="F16" s="28" t="s">
        <v>25</v>
      </c>
      <c r="G16" s="29" t="s">
        <v>67</v>
      </c>
      <c r="H16" s="29" t="s">
        <v>60</v>
      </c>
      <c r="I16" s="29">
        <f>'MERCADO TE'!$U$13</f>
        <v>0</v>
      </c>
      <c r="J16" s="15"/>
      <c r="L16" s="26">
        <f>'TE BE'!$L$16*'TE BE'!$L$48</f>
        <v>0</v>
      </c>
      <c r="M16" s="26">
        <f>'TE BE'!$M$16*'TE BE'!$M$48</f>
        <v>0</v>
      </c>
      <c r="N16" s="26">
        <f>'TE BE'!$N$16*'TE BE'!$N$48</f>
        <v>0</v>
      </c>
      <c r="O16" s="26">
        <f>'TE BE'!$O$16*'TE BE'!$O$48</f>
        <v>0</v>
      </c>
      <c r="P16" s="26">
        <f>'TE BE'!$P$16*'TE BE'!$P$48</f>
        <v>0</v>
      </c>
      <c r="Q16" s="26">
        <f>SUM($L$16:$P$16)</f>
        <v>0</v>
      </c>
      <c r="R16" s="26">
        <f>'TE BE'!$R$16*'TE BE'!$R$48</f>
        <v>-9.4991640210229704</v>
      </c>
      <c r="S16" s="26">
        <f>SUM($R$16:$R$16)</f>
        <v>-9.4991640210229704</v>
      </c>
      <c r="T16" s="26">
        <f>'TE BE'!$T$16*'TE BE'!$T$48</f>
        <v>0</v>
      </c>
      <c r="U16" s="26">
        <f>'TE BE'!$U$16*'TE BE'!$U$48</f>
        <v>0</v>
      </c>
      <c r="V16" s="26">
        <f>'TE BE'!$V$16*'TE BE'!$V$48</f>
        <v>0</v>
      </c>
      <c r="W16" s="26">
        <f>SUM($T$16:$V$16)</f>
        <v>0</v>
      </c>
      <c r="X16" s="26">
        <f>'TE BE'!$AB$16*'TE BE'!$X$48</f>
        <v>0</v>
      </c>
      <c r="Y16" s="26">
        <f>SUM($X$16:$X$16)</f>
        <v>0</v>
      </c>
      <c r="Z16" s="26">
        <f>'TE BE'!$Z$16*'TE BE'!$Z$48</f>
        <v>0</v>
      </c>
      <c r="AA16" s="26">
        <f>SUM($Z$16:$Z$16)</f>
        <v>0</v>
      </c>
      <c r="AB16" s="26">
        <f>SUMIF($L$4:$AA$4,"SUBTOTAL",$L$16:$AA$16)</f>
        <v>-9.4991640210229704</v>
      </c>
    </row>
    <row r="17" spans="1:28" ht="11.25" customHeight="1" x14ac:dyDescent="0.25">
      <c r="A17" s="114"/>
      <c r="B17" s="114"/>
      <c r="C17" s="114"/>
      <c r="D17" s="28" t="s">
        <v>42</v>
      </c>
      <c r="E17" s="28" t="s">
        <v>25</v>
      </c>
      <c r="F17" s="28" t="s">
        <v>25</v>
      </c>
      <c r="G17" s="29" t="s">
        <v>67</v>
      </c>
      <c r="H17" s="29" t="s">
        <v>60</v>
      </c>
      <c r="I17" s="29">
        <f>'MERCADO TE'!$U$14</f>
        <v>0</v>
      </c>
      <c r="J17" s="15"/>
      <c r="L17" s="26">
        <f>'TE BE'!$L$17*'TE BE'!$L$48</f>
        <v>0</v>
      </c>
      <c r="M17" s="26">
        <f>'TE BE'!$M$17*'TE BE'!$M$48</f>
        <v>0</v>
      </c>
      <c r="N17" s="26">
        <f>'TE BE'!$N$17*'TE BE'!$N$48</f>
        <v>0</v>
      </c>
      <c r="O17" s="26">
        <f>'TE BE'!$O$17*'TE BE'!$O$48</f>
        <v>0</v>
      </c>
      <c r="P17" s="26">
        <f>'TE BE'!$P$17*'TE BE'!$P$48</f>
        <v>0</v>
      </c>
      <c r="Q17" s="26">
        <f>SUM($L$17:$P$17)</f>
        <v>0</v>
      </c>
      <c r="R17" s="26">
        <f>'TE BE'!$R$17*'TE BE'!$R$48</f>
        <v>-9.4991640210229704</v>
      </c>
      <c r="S17" s="26">
        <f>SUM($R$17:$R$17)</f>
        <v>-9.4991640210229704</v>
      </c>
      <c r="T17" s="26">
        <f>'TE BE'!$T$17*'TE BE'!$T$48</f>
        <v>0</v>
      </c>
      <c r="U17" s="26">
        <f>'TE BE'!$U$17*'TE BE'!$U$48</f>
        <v>0</v>
      </c>
      <c r="V17" s="26">
        <f>'TE BE'!$V$17*'TE BE'!$V$48</f>
        <v>0</v>
      </c>
      <c r="W17" s="26">
        <f>SUM($T$17:$V$17)</f>
        <v>0</v>
      </c>
      <c r="X17" s="26">
        <f>'TE BE'!$AB$17*'TE BE'!$X$48</f>
        <v>0</v>
      </c>
      <c r="Y17" s="26">
        <f>SUM($X$17:$X$17)</f>
        <v>0</v>
      </c>
      <c r="Z17" s="26">
        <f>'TE BE'!$Z$17*'TE BE'!$Z$48</f>
        <v>0</v>
      </c>
      <c r="AA17" s="26">
        <f>SUM($Z$17:$Z$17)</f>
        <v>0</v>
      </c>
      <c r="AB17" s="26">
        <f>SUMIF($L$4:$AA$4,"SUBTOTAL",$L$17:$AA$17)</f>
        <v>-9.4991640210229704</v>
      </c>
    </row>
    <row r="18" spans="1:28" ht="11.25" customHeight="1" x14ac:dyDescent="0.25">
      <c r="A18" s="114"/>
      <c r="B18" s="114"/>
      <c r="C18" s="114"/>
      <c r="D18" s="28" t="s">
        <v>39</v>
      </c>
      <c r="E18" s="28" t="s">
        <v>25</v>
      </c>
      <c r="F18" s="28" t="s">
        <v>25</v>
      </c>
      <c r="G18" s="29" t="s">
        <v>67</v>
      </c>
      <c r="H18" s="29" t="s">
        <v>60</v>
      </c>
      <c r="I18" s="29">
        <f>'MERCADO TE'!$U$15</f>
        <v>0</v>
      </c>
      <c r="J18" s="15"/>
      <c r="L18" s="26">
        <f>'TE BE'!$L$18*'TE BE'!$L$48</f>
        <v>0</v>
      </c>
      <c r="M18" s="26">
        <f>'TE BE'!$M$18*'TE BE'!$M$48</f>
        <v>0</v>
      </c>
      <c r="N18" s="26">
        <f>'TE BE'!$N$18*'TE BE'!$N$48</f>
        <v>0</v>
      </c>
      <c r="O18" s="26">
        <f>'TE BE'!$O$18*'TE BE'!$O$48</f>
        <v>0</v>
      </c>
      <c r="P18" s="26">
        <f>'TE BE'!$P$18*'TE BE'!$P$48</f>
        <v>0</v>
      </c>
      <c r="Q18" s="26">
        <f>SUM($L$18:$P$18)</f>
        <v>0</v>
      </c>
      <c r="R18" s="26">
        <f>'TE BE'!$R$18*'TE BE'!$R$48</f>
        <v>-9.4991640210229704</v>
      </c>
      <c r="S18" s="26">
        <f>SUM($R$18:$R$18)</f>
        <v>-9.4991640210229704</v>
      </c>
      <c r="T18" s="26">
        <f>'TE BE'!$T$18*'TE BE'!$T$48</f>
        <v>0</v>
      </c>
      <c r="U18" s="26">
        <f>'TE BE'!$U$18*'TE BE'!$U$48</f>
        <v>0</v>
      </c>
      <c r="V18" s="26">
        <f>'TE BE'!$V$18*'TE BE'!$V$48</f>
        <v>0</v>
      </c>
      <c r="W18" s="26">
        <f>SUM($T$18:$V$18)</f>
        <v>0</v>
      </c>
      <c r="X18" s="26">
        <f>'TE BE'!$AB$18*'TE BE'!$X$48</f>
        <v>0</v>
      </c>
      <c r="Y18" s="26">
        <f>SUM($X$18:$X$18)</f>
        <v>0</v>
      </c>
      <c r="Z18" s="26">
        <f>'TE BE'!$Z$18*'TE BE'!$Z$48</f>
        <v>0</v>
      </c>
      <c r="AA18" s="26">
        <f>SUM($Z$18:$Z$18)</f>
        <v>0</v>
      </c>
      <c r="AB18" s="26">
        <f>SUMIF($L$4:$AA$4,"SUBTOTAL",$L$18:$AA$18)</f>
        <v>-9.4991640210229704</v>
      </c>
    </row>
    <row r="19" spans="1:28" ht="11.25" customHeight="1" x14ac:dyDescent="0.25">
      <c r="A19" s="114"/>
      <c r="B19" s="114"/>
      <c r="C19" s="114"/>
      <c r="D19" s="28" t="s">
        <v>40</v>
      </c>
      <c r="E19" s="28" t="s">
        <v>25</v>
      </c>
      <c r="F19" s="28" t="s">
        <v>25</v>
      </c>
      <c r="G19" s="29" t="s">
        <v>67</v>
      </c>
      <c r="H19" s="29" t="s">
        <v>60</v>
      </c>
      <c r="I19" s="29">
        <f>'MERCADO TE'!$U$16</f>
        <v>0</v>
      </c>
      <c r="J19" s="15"/>
      <c r="L19" s="26">
        <f>'TE BE'!$L$19*'TE BE'!$L$48</f>
        <v>0</v>
      </c>
      <c r="M19" s="26">
        <f>'TE BE'!$M$19*'TE BE'!$M$48</f>
        <v>0</v>
      </c>
      <c r="N19" s="26">
        <f>'TE BE'!$N$19*'TE BE'!$N$48</f>
        <v>0</v>
      </c>
      <c r="O19" s="26">
        <f>'TE BE'!$O$19*'TE BE'!$O$48</f>
        <v>0</v>
      </c>
      <c r="P19" s="26">
        <f>'TE BE'!$P$19*'TE BE'!$P$48</f>
        <v>0</v>
      </c>
      <c r="Q19" s="26">
        <f>SUM($L$19:$P$19)</f>
        <v>0</v>
      </c>
      <c r="R19" s="26">
        <f>'TE BE'!$R$19*'TE BE'!$R$48</f>
        <v>-9.4991640210229704</v>
      </c>
      <c r="S19" s="26">
        <f>SUM($R$19:$R$19)</f>
        <v>-9.4991640210229704</v>
      </c>
      <c r="T19" s="26">
        <f>'TE BE'!$T$19*'TE BE'!$T$48</f>
        <v>0</v>
      </c>
      <c r="U19" s="26">
        <f>'TE BE'!$U$19*'TE BE'!$U$48</f>
        <v>0</v>
      </c>
      <c r="V19" s="26">
        <f>'TE BE'!$V$19*'TE BE'!$V$48</f>
        <v>0</v>
      </c>
      <c r="W19" s="26">
        <f>SUM($T$19:$V$19)</f>
        <v>0</v>
      </c>
      <c r="X19" s="26">
        <f>'TE BE'!$AB$19*'TE BE'!$X$48</f>
        <v>0</v>
      </c>
      <c r="Y19" s="26">
        <f>SUM($X$19:$X$19)</f>
        <v>0</v>
      </c>
      <c r="Z19" s="26">
        <f>'TE BE'!$Z$19*'TE BE'!$Z$48</f>
        <v>0</v>
      </c>
      <c r="AA19" s="26">
        <f>SUM($Z$19:$Z$19)</f>
        <v>0</v>
      </c>
      <c r="AB19" s="26">
        <f>SUMIF($L$4:$AA$4,"SUBTOTAL",$L$19:$AA$19)</f>
        <v>-9.4991640210229704</v>
      </c>
    </row>
    <row r="20" spans="1:28" ht="11.25" customHeight="1" x14ac:dyDescent="0.25">
      <c r="A20" s="114" t="s">
        <v>31</v>
      </c>
      <c r="B20" s="114" t="s">
        <v>59</v>
      </c>
      <c r="C20" s="114" t="s">
        <v>32</v>
      </c>
      <c r="D20" s="114" t="s">
        <v>25</v>
      </c>
      <c r="E20" s="114" t="s">
        <v>25</v>
      </c>
      <c r="F20" s="114" t="s">
        <v>25</v>
      </c>
      <c r="G20" s="29" t="s">
        <v>61</v>
      </c>
      <c r="H20" s="29" t="s">
        <v>60</v>
      </c>
      <c r="I20" s="29">
        <f>'MERCADO TE'!$U$17</f>
        <v>0</v>
      </c>
      <c r="J20" s="15"/>
      <c r="L20" s="26">
        <f>'TE BE'!$L$20*'TE BE'!$L$48</f>
        <v>0</v>
      </c>
      <c r="M20" s="26">
        <f>'TE BE'!$M$20*'TE BE'!$M$48</f>
        <v>0</v>
      </c>
      <c r="N20" s="26">
        <f>'TE BE'!$N$20*'TE BE'!$N$48</f>
        <v>0</v>
      </c>
      <c r="O20" s="26">
        <f>'TE BE'!$O$20*'TE BE'!$O$48</f>
        <v>0</v>
      </c>
      <c r="P20" s="26">
        <f>'TE BE'!$P$20*'TE BE'!$P$48</f>
        <v>0</v>
      </c>
      <c r="Q20" s="26">
        <f>SUM($L$20:$P$20)</f>
        <v>0</v>
      </c>
      <c r="R20" s="26">
        <f>'TE BE'!$R$20*'TE BE'!$R$48</f>
        <v>-9.4991640210229704</v>
      </c>
      <c r="S20" s="26">
        <f>SUM($R$20:$R$20)</f>
        <v>-9.4991640210229704</v>
      </c>
      <c r="T20" s="26">
        <f>'TE BE'!$T$20*'TE BE'!$T$48</f>
        <v>0</v>
      </c>
      <c r="U20" s="26">
        <f>'TE BE'!$U$20*'TE BE'!$U$48</f>
        <v>0</v>
      </c>
      <c r="V20" s="26">
        <f>'TE BE'!$V$20*'TE BE'!$V$48</f>
        <v>0</v>
      </c>
      <c r="W20" s="26">
        <f>SUM($T$20:$V$20)</f>
        <v>0</v>
      </c>
      <c r="X20" s="26">
        <f>'TE BE'!$AB$20*'TE BE'!$X$48</f>
        <v>0</v>
      </c>
      <c r="Y20" s="26">
        <f>SUM($X$20:$X$20)</f>
        <v>0</v>
      </c>
      <c r="Z20" s="26">
        <f>'TE BE'!$Z$20*'TE BE'!$Z$48</f>
        <v>0</v>
      </c>
      <c r="AA20" s="26">
        <f>SUM($Z$20:$Z$20)</f>
        <v>0</v>
      </c>
      <c r="AB20" s="26">
        <f>SUMIF($L$4:$AA$4,"SUBTOTAL",$L$20:$AA$20)</f>
        <v>-9.4991640210229704</v>
      </c>
    </row>
    <row r="21" spans="1:28" ht="11.25" customHeight="1" x14ac:dyDescent="0.25">
      <c r="A21" s="114"/>
      <c r="B21" s="114"/>
      <c r="C21" s="114"/>
      <c r="D21" s="114"/>
      <c r="E21" s="114"/>
      <c r="F21" s="114"/>
      <c r="G21" s="29" t="s">
        <v>74</v>
      </c>
      <c r="H21" s="29" t="s">
        <v>60</v>
      </c>
      <c r="I21" s="29">
        <f>'MERCADO TE'!$U$18</f>
        <v>0</v>
      </c>
      <c r="J21" s="15"/>
      <c r="L21" s="26">
        <f>'TE BE'!$L$21*'TE BE'!$L$48</f>
        <v>0</v>
      </c>
      <c r="M21" s="26">
        <f>'TE BE'!$M$21*'TE BE'!$M$48</f>
        <v>0</v>
      </c>
      <c r="N21" s="26">
        <f>'TE BE'!$N$21*'TE BE'!$N$48</f>
        <v>0</v>
      </c>
      <c r="O21" s="26">
        <f>'TE BE'!$O$21*'TE BE'!$O$48</f>
        <v>0</v>
      </c>
      <c r="P21" s="26">
        <f>'TE BE'!$P$21*'TE BE'!$P$48</f>
        <v>0</v>
      </c>
      <c r="Q21" s="26">
        <f>SUM($L$21:$P$21)</f>
        <v>0</v>
      </c>
      <c r="R21" s="26">
        <f>'TE BE'!$R$21*'TE BE'!$R$48</f>
        <v>-9.4991640210229704</v>
      </c>
      <c r="S21" s="26">
        <f>SUM($R$21:$R$21)</f>
        <v>-9.4991640210229704</v>
      </c>
      <c r="T21" s="26">
        <f>'TE BE'!$T$21*'TE BE'!$T$48</f>
        <v>0</v>
      </c>
      <c r="U21" s="26">
        <f>'TE BE'!$U$21*'TE BE'!$U$48</f>
        <v>0</v>
      </c>
      <c r="V21" s="26">
        <f>'TE BE'!$V$21*'TE BE'!$V$48</f>
        <v>0</v>
      </c>
      <c r="W21" s="26">
        <f>SUM($T$21:$V$21)</f>
        <v>0</v>
      </c>
      <c r="X21" s="26">
        <f>'TE BE'!$AB$21*'TE BE'!$X$48</f>
        <v>0</v>
      </c>
      <c r="Y21" s="26">
        <f>SUM($X$21:$X$21)</f>
        <v>0</v>
      </c>
      <c r="Z21" s="26">
        <f>'TE BE'!$Z$21*'TE BE'!$Z$48</f>
        <v>0</v>
      </c>
      <c r="AA21" s="26">
        <f>SUM($Z$21:$Z$21)</f>
        <v>0</v>
      </c>
      <c r="AB21" s="26">
        <f>SUMIF($L$4:$AA$4,"SUBTOTAL",$L$21:$AA$21)</f>
        <v>-9.4991640210229704</v>
      </c>
    </row>
    <row r="22" spans="1:28" ht="11.25" customHeight="1" x14ac:dyDescent="0.25">
      <c r="A22" s="114"/>
      <c r="B22" s="114"/>
      <c r="C22" s="114"/>
      <c r="D22" s="114"/>
      <c r="E22" s="114"/>
      <c r="F22" s="114"/>
      <c r="G22" s="29" t="s">
        <v>62</v>
      </c>
      <c r="H22" s="29" t="s">
        <v>60</v>
      </c>
      <c r="I22" s="29">
        <f>'MERCADO TE'!$U$19</f>
        <v>0</v>
      </c>
      <c r="J22" s="15"/>
      <c r="L22" s="26">
        <f>'TE BE'!$L$22*'TE BE'!$L$48</f>
        <v>0</v>
      </c>
      <c r="M22" s="26">
        <f>'TE BE'!$M$22*'TE BE'!$M$48</f>
        <v>0</v>
      </c>
      <c r="N22" s="26">
        <f>'TE BE'!$N$22*'TE BE'!$N$48</f>
        <v>0</v>
      </c>
      <c r="O22" s="26">
        <f>'TE BE'!$O$22*'TE BE'!$O$48</f>
        <v>0</v>
      </c>
      <c r="P22" s="26">
        <f>'TE BE'!$P$22*'TE BE'!$P$48</f>
        <v>0</v>
      </c>
      <c r="Q22" s="26">
        <f>SUM($L$22:$P$22)</f>
        <v>0</v>
      </c>
      <c r="R22" s="26">
        <f>'TE BE'!$R$22*'TE BE'!$R$48</f>
        <v>-9.4991640210229704</v>
      </c>
      <c r="S22" s="26">
        <f>SUM($R$22:$R$22)</f>
        <v>-9.4991640210229704</v>
      </c>
      <c r="T22" s="26">
        <f>'TE BE'!$T$22*'TE BE'!$T$48</f>
        <v>0</v>
      </c>
      <c r="U22" s="26">
        <f>'TE BE'!$U$22*'TE BE'!$U$48</f>
        <v>0</v>
      </c>
      <c r="V22" s="26">
        <f>'TE BE'!$V$22*'TE BE'!$V$48</f>
        <v>0</v>
      </c>
      <c r="W22" s="26">
        <f>SUM($T$22:$V$22)</f>
        <v>0</v>
      </c>
      <c r="X22" s="26">
        <f>'TE BE'!$AB$22*'TE BE'!$X$48</f>
        <v>0</v>
      </c>
      <c r="Y22" s="26">
        <f>SUM($X$22:$X$22)</f>
        <v>0</v>
      </c>
      <c r="Z22" s="26">
        <f>'TE BE'!$Z$22*'TE BE'!$Z$48</f>
        <v>0</v>
      </c>
      <c r="AA22" s="26">
        <f>SUM($Z$22:$Z$22)</f>
        <v>0</v>
      </c>
      <c r="AB22" s="26">
        <f>SUMIF($L$4:$AA$4,"SUBTOTAL",$L$22:$AA$22)</f>
        <v>-9.4991640210229704</v>
      </c>
    </row>
    <row r="23" spans="1:28" ht="11.25" customHeight="1" x14ac:dyDescent="0.25">
      <c r="A23" s="114"/>
      <c r="B23" s="28" t="s">
        <v>75</v>
      </c>
      <c r="C23" s="28" t="s">
        <v>32</v>
      </c>
      <c r="D23" s="28" t="s">
        <v>25</v>
      </c>
      <c r="E23" s="28" t="s">
        <v>25</v>
      </c>
      <c r="F23" s="28" t="s">
        <v>25</v>
      </c>
      <c r="G23" s="29" t="s">
        <v>67</v>
      </c>
      <c r="H23" s="29" t="s">
        <v>60</v>
      </c>
      <c r="I23" s="29">
        <f>'MERCADO TE'!$U$20</f>
        <v>6180.567</v>
      </c>
      <c r="J23" s="15"/>
      <c r="L23" s="26">
        <f>'TE BE'!$L$23*'TE BE'!$L$48</f>
        <v>0</v>
      </c>
      <c r="M23" s="26">
        <f>'TE BE'!$M$23*'TE BE'!$M$48</f>
        <v>0</v>
      </c>
      <c r="N23" s="26">
        <f>'TE BE'!$N$23*'TE BE'!$N$48</f>
        <v>0</v>
      </c>
      <c r="O23" s="26">
        <f>'TE BE'!$O$23*'TE BE'!$O$48</f>
        <v>0</v>
      </c>
      <c r="P23" s="26">
        <f>'TE BE'!$P$23*'TE BE'!$P$48</f>
        <v>0</v>
      </c>
      <c r="Q23" s="26">
        <f>SUM($L$23:$P$23)</f>
        <v>0</v>
      </c>
      <c r="R23" s="26">
        <f>'TE BE'!$R$23*'TE BE'!$R$48</f>
        <v>-9.4991640210229704</v>
      </c>
      <c r="S23" s="26">
        <f>SUM($R$23:$R$23)</f>
        <v>-9.4991640210229704</v>
      </c>
      <c r="T23" s="26">
        <f>'TE BE'!$T$23*'TE BE'!$T$48</f>
        <v>0</v>
      </c>
      <c r="U23" s="26">
        <f>'TE BE'!$U$23*'TE BE'!$U$48</f>
        <v>0</v>
      </c>
      <c r="V23" s="26">
        <f>'TE BE'!$V$23*'TE BE'!$V$48</f>
        <v>0</v>
      </c>
      <c r="W23" s="26">
        <f>SUM($T$23:$V$23)</f>
        <v>0</v>
      </c>
      <c r="X23" s="26">
        <f>'TE BE'!$AB$23*'TE BE'!$X$48</f>
        <v>0</v>
      </c>
      <c r="Y23" s="26">
        <f>SUM($X$23:$X$23)</f>
        <v>0</v>
      </c>
      <c r="Z23" s="26">
        <f>'TE BE'!$Z$23*'TE BE'!$Z$48</f>
        <v>0</v>
      </c>
      <c r="AA23" s="26">
        <f>SUM($Z$23:$Z$23)</f>
        <v>0</v>
      </c>
      <c r="AB23" s="26">
        <f>SUMIF($L$4:$AA$4,"SUBTOTAL",$L$23:$AA$23)</f>
        <v>-9.4991640210229704</v>
      </c>
    </row>
    <row r="24" spans="1:28" ht="11.25" customHeight="1" x14ac:dyDescent="0.25">
      <c r="A24" s="114"/>
      <c r="B24" s="114" t="s">
        <v>59</v>
      </c>
      <c r="C24" s="114" t="s">
        <v>32</v>
      </c>
      <c r="D24" s="114" t="s">
        <v>79</v>
      </c>
      <c r="E24" s="114" t="s">
        <v>25</v>
      </c>
      <c r="F24" s="114" t="s">
        <v>25</v>
      </c>
      <c r="G24" s="29" t="s">
        <v>61</v>
      </c>
      <c r="H24" s="29" t="s">
        <v>60</v>
      </c>
      <c r="I24" s="29">
        <f>'MERCADO TE'!$U$21</f>
        <v>0</v>
      </c>
      <c r="J24" s="15"/>
      <c r="L24" s="26">
        <f>'TE BE'!$L$24*'TE BE'!$L$48</f>
        <v>0</v>
      </c>
      <c r="M24" s="26">
        <f>'TE BE'!$M$24*'TE BE'!$M$48</f>
        <v>0</v>
      </c>
      <c r="N24" s="26">
        <f>'TE BE'!$N$24*'TE BE'!$N$48</f>
        <v>0</v>
      </c>
      <c r="O24" s="26">
        <f>'TE BE'!$O$24*'TE BE'!$O$48</f>
        <v>0</v>
      </c>
      <c r="P24" s="26">
        <f>'TE BE'!$P$24*'TE BE'!$P$48</f>
        <v>0</v>
      </c>
      <c r="Q24" s="26">
        <f>SUM($L$24:$P$24)</f>
        <v>0</v>
      </c>
      <c r="R24" s="26">
        <f>'TE BE'!$R$24*'TE BE'!$R$48</f>
        <v>-9.4991640210229704</v>
      </c>
      <c r="S24" s="26">
        <f>SUM($R$24:$R$24)</f>
        <v>-9.4991640210229704</v>
      </c>
      <c r="T24" s="26">
        <f>'TE BE'!$T$24*'TE BE'!$T$48</f>
        <v>0</v>
      </c>
      <c r="U24" s="26">
        <f>'TE BE'!$U$24*'TE BE'!$U$48</f>
        <v>0</v>
      </c>
      <c r="V24" s="26">
        <f>'TE BE'!$V$24*'TE BE'!$V$48</f>
        <v>0</v>
      </c>
      <c r="W24" s="26">
        <f>SUM($T$24:$V$24)</f>
        <v>0</v>
      </c>
      <c r="X24" s="26">
        <f>'TE BE'!$AB$24*'TE BE'!$X$48</f>
        <v>0</v>
      </c>
      <c r="Y24" s="26">
        <f>SUM($X$24:$X$24)</f>
        <v>0</v>
      </c>
      <c r="Z24" s="26">
        <f>'TE BE'!$Z$24*'TE BE'!$Z$48</f>
        <v>0</v>
      </c>
      <c r="AA24" s="26">
        <f>SUM($Z$24:$Z$24)</f>
        <v>0</v>
      </c>
      <c r="AB24" s="26">
        <f>SUMIF($L$4:$AA$4,"SUBTOTAL",$L$24:$AA$24)</f>
        <v>-9.4991640210229704</v>
      </c>
    </row>
    <row r="25" spans="1:28" ht="11.25" customHeight="1" x14ac:dyDescent="0.25">
      <c r="A25" s="114"/>
      <c r="B25" s="114"/>
      <c r="C25" s="114"/>
      <c r="D25" s="114"/>
      <c r="E25" s="114"/>
      <c r="F25" s="114"/>
      <c r="G25" s="29" t="s">
        <v>74</v>
      </c>
      <c r="H25" s="29" t="s">
        <v>60</v>
      </c>
      <c r="I25" s="29">
        <f>'MERCADO TE'!$U$22</f>
        <v>0</v>
      </c>
      <c r="J25" s="15"/>
      <c r="L25" s="26">
        <f>'TE BE'!$L$25*'TE BE'!$L$48</f>
        <v>0</v>
      </c>
      <c r="M25" s="26">
        <f>'TE BE'!$M$25*'TE BE'!$M$48</f>
        <v>0</v>
      </c>
      <c r="N25" s="26">
        <f>'TE BE'!$N$25*'TE BE'!$N$48</f>
        <v>0</v>
      </c>
      <c r="O25" s="26">
        <f>'TE BE'!$O$25*'TE BE'!$O$48</f>
        <v>0</v>
      </c>
      <c r="P25" s="26">
        <f>'TE BE'!$P$25*'TE BE'!$P$48</f>
        <v>0</v>
      </c>
      <c r="Q25" s="26">
        <f>SUM($L$25:$P$25)</f>
        <v>0</v>
      </c>
      <c r="R25" s="26">
        <f>'TE BE'!$R$25*'TE BE'!$R$48</f>
        <v>-9.4991640210229704</v>
      </c>
      <c r="S25" s="26">
        <f>SUM($R$25:$R$25)</f>
        <v>-9.4991640210229704</v>
      </c>
      <c r="T25" s="26">
        <f>'TE BE'!$T$25*'TE BE'!$T$48</f>
        <v>0</v>
      </c>
      <c r="U25" s="26">
        <f>'TE BE'!$U$25*'TE BE'!$U$48</f>
        <v>0</v>
      </c>
      <c r="V25" s="26">
        <f>'TE BE'!$V$25*'TE BE'!$V$48</f>
        <v>0</v>
      </c>
      <c r="W25" s="26">
        <f>SUM($T$25:$V$25)</f>
        <v>0</v>
      </c>
      <c r="X25" s="26">
        <f>'TE BE'!$AB$25*'TE BE'!$X$48</f>
        <v>0</v>
      </c>
      <c r="Y25" s="26">
        <f>SUM($X$25:$X$25)</f>
        <v>0</v>
      </c>
      <c r="Z25" s="26">
        <f>'TE BE'!$Z$25*'TE BE'!$Z$48</f>
        <v>0</v>
      </c>
      <c r="AA25" s="26">
        <f>SUM($Z$25:$Z$25)</f>
        <v>0</v>
      </c>
      <c r="AB25" s="26">
        <f>SUMIF($L$4:$AA$4,"SUBTOTAL",$L$25:$AA$25)</f>
        <v>-9.4991640210229704</v>
      </c>
    </row>
    <row r="26" spans="1:28" ht="11.25" customHeight="1" x14ac:dyDescent="0.25">
      <c r="A26" s="114"/>
      <c r="B26" s="114"/>
      <c r="C26" s="114"/>
      <c r="D26" s="114"/>
      <c r="E26" s="114"/>
      <c r="F26" s="114"/>
      <c r="G26" s="29" t="s">
        <v>62</v>
      </c>
      <c r="H26" s="29" t="s">
        <v>60</v>
      </c>
      <c r="I26" s="29">
        <f>'MERCADO TE'!$U$23</f>
        <v>0</v>
      </c>
      <c r="J26" s="15"/>
      <c r="L26" s="26">
        <f>'TE BE'!$L$26*'TE BE'!$L$48</f>
        <v>0</v>
      </c>
      <c r="M26" s="26">
        <f>'TE BE'!$M$26*'TE BE'!$M$48</f>
        <v>0</v>
      </c>
      <c r="N26" s="26">
        <f>'TE BE'!$N$26*'TE BE'!$N$48</f>
        <v>0</v>
      </c>
      <c r="O26" s="26">
        <f>'TE BE'!$O$26*'TE BE'!$O$48</f>
        <v>0</v>
      </c>
      <c r="P26" s="26">
        <f>'TE BE'!$P$26*'TE BE'!$P$48</f>
        <v>0</v>
      </c>
      <c r="Q26" s="26">
        <f>SUM($L$26:$P$26)</f>
        <v>0</v>
      </c>
      <c r="R26" s="26">
        <f>'TE BE'!$R$26*'TE BE'!$R$48</f>
        <v>-9.4991640210229704</v>
      </c>
      <c r="S26" s="26">
        <f>SUM($R$26:$R$26)</f>
        <v>-9.4991640210229704</v>
      </c>
      <c r="T26" s="26">
        <f>'TE BE'!$T$26*'TE BE'!$T$48</f>
        <v>0</v>
      </c>
      <c r="U26" s="26">
        <f>'TE BE'!$U$26*'TE BE'!$U$48</f>
        <v>0</v>
      </c>
      <c r="V26" s="26">
        <f>'TE BE'!$V$26*'TE BE'!$V$48</f>
        <v>0</v>
      </c>
      <c r="W26" s="26">
        <f>SUM($T$26:$V$26)</f>
        <v>0</v>
      </c>
      <c r="X26" s="26">
        <f>'TE BE'!$AB$26*'TE BE'!$X$48</f>
        <v>0</v>
      </c>
      <c r="Y26" s="26">
        <f>SUM($X$26:$X$26)</f>
        <v>0</v>
      </c>
      <c r="Z26" s="26">
        <f>'TE BE'!$Z$26*'TE BE'!$Z$48</f>
        <v>0</v>
      </c>
      <c r="AA26" s="26">
        <f>SUM($Z$26:$Z$26)</f>
        <v>0</v>
      </c>
      <c r="AB26" s="26">
        <f>SUMIF($L$4:$AA$4,"SUBTOTAL",$L$26:$AA$26)</f>
        <v>-9.4991640210229704</v>
      </c>
    </row>
    <row r="27" spans="1:28" ht="11.25" customHeight="1" x14ac:dyDescent="0.25">
      <c r="A27" s="114"/>
      <c r="B27" s="28" t="s">
        <v>75</v>
      </c>
      <c r="C27" s="28" t="s">
        <v>32</v>
      </c>
      <c r="D27" s="28" t="s">
        <v>79</v>
      </c>
      <c r="E27" s="28" t="s">
        <v>25</v>
      </c>
      <c r="F27" s="28" t="s">
        <v>25</v>
      </c>
      <c r="G27" s="29" t="s">
        <v>67</v>
      </c>
      <c r="H27" s="29" t="s">
        <v>60</v>
      </c>
      <c r="I27" s="29">
        <f>'MERCADO TE'!$U$24</f>
        <v>0</v>
      </c>
      <c r="J27" s="15"/>
      <c r="L27" s="26">
        <f>'TE BE'!$L$27*'TE BE'!$L$48</f>
        <v>0</v>
      </c>
      <c r="M27" s="26">
        <f>'TE BE'!$M$27*'TE BE'!$M$48</f>
        <v>0</v>
      </c>
      <c r="N27" s="26">
        <f>'TE BE'!$N$27*'TE BE'!$N$48</f>
        <v>0</v>
      </c>
      <c r="O27" s="26">
        <f>'TE BE'!$O$27*'TE BE'!$O$48</f>
        <v>0</v>
      </c>
      <c r="P27" s="26">
        <f>'TE BE'!$P$27*'TE BE'!$P$48</f>
        <v>0</v>
      </c>
      <c r="Q27" s="26">
        <f>SUM($L$27:$P$27)</f>
        <v>0</v>
      </c>
      <c r="R27" s="26">
        <f>'TE BE'!$R$27*'TE BE'!$R$48</f>
        <v>-9.4991640210229704</v>
      </c>
      <c r="S27" s="26">
        <f>SUM($R$27:$R$27)</f>
        <v>-9.4991640210229704</v>
      </c>
      <c r="T27" s="26">
        <f>'TE BE'!$T$27*'TE BE'!$T$48</f>
        <v>0</v>
      </c>
      <c r="U27" s="26">
        <f>'TE BE'!$U$27*'TE BE'!$U$48</f>
        <v>0</v>
      </c>
      <c r="V27" s="26">
        <f>'TE BE'!$V$27*'TE BE'!$V$48</f>
        <v>0</v>
      </c>
      <c r="W27" s="26">
        <f>SUM($T$27:$V$27)</f>
        <v>0</v>
      </c>
      <c r="X27" s="26">
        <f>'TE BE'!$AB$27*'TE BE'!$X$48</f>
        <v>0</v>
      </c>
      <c r="Y27" s="26">
        <f>SUM($X$27:$X$27)</f>
        <v>0</v>
      </c>
      <c r="Z27" s="26">
        <f>'TE BE'!$Z$27*'TE BE'!$Z$48</f>
        <v>0</v>
      </c>
      <c r="AA27" s="26">
        <f>SUM($Z$27:$Z$27)</f>
        <v>0</v>
      </c>
      <c r="AB27" s="26">
        <f>SUMIF($L$4:$AA$4,"SUBTOTAL",$L$27:$AA$27)</f>
        <v>-9.4991640210229704</v>
      </c>
    </row>
    <row r="28" spans="1:28" ht="11.25" customHeight="1" x14ac:dyDescent="0.25">
      <c r="A28" s="114"/>
      <c r="B28" s="114" t="s">
        <v>59</v>
      </c>
      <c r="C28" s="114" t="s">
        <v>32</v>
      </c>
      <c r="D28" s="114" t="s">
        <v>80</v>
      </c>
      <c r="E28" s="114" t="s">
        <v>25</v>
      </c>
      <c r="F28" s="114" t="s">
        <v>25</v>
      </c>
      <c r="G28" s="29" t="s">
        <v>61</v>
      </c>
      <c r="H28" s="29" t="s">
        <v>60</v>
      </c>
      <c r="I28" s="29">
        <f>'MERCADO TE'!$U$25</f>
        <v>0</v>
      </c>
      <c r="J28" s="15"/>
      <c r="L28" s="26">
        <f>'TE BE'!$L$28*'TE BE'!$L$48</f>
        <v>0</v>
      </c>
      <c r="M28" s="26">
        <f>'TE BE'!$M$28*'TE BE'!$M$48</f>
        <v>0</v>
      </c>
      <c r="N28" s="26">
        <f>'TE BE'!$N$28*'TE BE'!$N$48</f>
        <v>0</v>
      </c>
      <c r="O28" s="26">
        <f>'TE BE'!$O$28*'TE BE'!$O$48</f>
        <v>0</v>
      </c>
      <c r="P28" s="26">
        <f>'TE BE'!$P$28*'TE BE'!$P$48</f>
        <v>0</v>
      </c>
      <c r="Q28" s="26">
        <f>SUM($L$28:$P$28)</f>
        <v>0</v>
      </c>
      <c r="R28" s="26">
        <f>'TE BE'!$R$28*'TE BE'!$R$48</f>
        <v>-9.4991640210229704</v>
      </c>
      <c r="S28" s="26">
        <f>SUM($R$28:$R$28)</f>
        <v>-9.4991640210229704</v>
      </c>
      <c r="T28" s="26">
        <f>'TE BE'!$T$28*'TE BE'!$T$48</f>
        <v>0</v>
      </c>
      <c r="U28" s="26">
        <f>'TE BE'!$U$28*'TE BE'!$U$48</f>
        <v>0</v>
      </c>
      <c r="V28" s="26">
        <f>'TE BE'!$V$28*'TE BE'!$V$48</f>
        <v>0</v>
      </c>
      <c r="W28" s="26">
        <f>SUM($T$28:$V$28)</f>
        <v>0</v>
      </c>
      <c r="X28" s="26">
        <f>'TE BE'!$AB$28*'TE BE'!$X$48</f>
        <v>0</v>
      </c>
      <c r="Y28" s="26">
        <f>SUM($X$28:$X$28)</f>
        <v>0</v>
      </c>
      <c r="Z28" s="26">
        <f>'TE BE'!$Z$28*'TE BE'!$Z$48</f>
        <v>0</v>
      </c>
      <c r="AA28" s="26">
        <f>SUM($Z$28:$Z$28)</f>
        <v>0</v>
      </c>
      <c r="AB28" s="26">
        <f>SUMIF($L$4:$AA$4,"SUBTOTAL",$L$28:$AA$28)</f>
        <v>-9.4991640210229704</v>
      </c>
    </row>
    <row r="29" spans="1:28" ht="11.25" customHeight="1" x14ac:dyDescent="0.25">
      <c r="A29" s="114"/>
      <c r="B29" s="114"/>
      <c r="C29" s="114"/>
      <c r="D29" s="114"/>
      <c r="E29" s="114"/>
      <c r="F29" s="114"/>
      <c r="G29" s="29" t="s">
        <v>74</v>
      </c>
      <c r="H29" s="29" t="s">
        <v>60</v>
      </c>
      <c r="I29" s="29">
        <f>'MERCADO TE'!$U$26</f>
        <v>0</v>
      </c>
      <c r="J29" s="15"/>
      <c r="L29" s="26">
        <f>'TE BE'!$L$29*'TE BE'!$L$48</f>
        <v>0</v>
      </c>
      <c r="M29" s="26">
        <f>'TE BE'!$M$29*'TE BE'!$M$48</f>
        <v>0</v>
      </c>
      <c r="N29" s="26">
        <f>'TE BE'!$N$29*'TE BE'!$N$48</f>
        <v>0</v>
      </c>
      <c r="O29" s="26">
        <f>'TE BE'!$O$29*'TE BE'!$O$48</f>
        <v>0</v>
      </c>
      <c r="P29" s="26">
        <f>'TE BE'!$P$29*'TE BE'!$P$48</f>
        <v>0</v>
      </c>
      <c r="Q29" s="26">
        <f>SUM($L$29:$P$29)</f>
        <v>0</v>
      </c>
      <c r="R29" s="26">
        <f>'TE BE'!$R$29*'TE BE'!$R$48</f>
        <v>-9.4991640210229704</v>
      </c>
      <c r="S29" s="26">
        <f>SUM($R$29:$R$29)</f>
        <v>-9.4991640210229704</v>
      </c>
      <c r="T29" s="26">
        <f>'TE BE'!$T$29*'TE BE'!$T$48</f>
        <v>0</v>
      </c>
      <c r="U29" s="26">
        <f>'TE BE'!$U$29*'TE BE'!$U$48</f>
        <v>0</v>
      </c>
      <c r="V29" s="26">
        <f>'TE BE'!$V$29*'TE BE'!$V$48</f>
        <v>0</v>
      </c>
      <c r="W29" s="26">
        <f>SUM($T$29:$V$29)</f>
        <v>0</v>
      </c>
      <c r="X29" s="26">
        <f>'TE BE'!$AB$29*'TE BE'!$X$48</f>
        <v>0</v>
      </c>
      <c r="Y29" s="26">
        <f>SUM($X$29:$X$29)</f>
        <v>0</v>
      </c>
      <c r="Z29" s="26">
        <f>'TE BE'!$Z$29*'TE BE'!$Z$48</f>
        <v>0</v>
      </c>
      <c r="AA29" s="26">
        <f>SUM($Z$29:$Z$29)</f>
        <v>0</v>
      </c>
      <c r="AB29" s="26">
        <f>SUMIF($L$4:$AA$4,"SUBTOTAL",$L$29:$AA$29)</f>
        <v>-9.4991640210229704</v>
      </c>
    </row>
    <row r="30" spans="1:28" ht="11.25" customHeight="1" x14ac:dyDescent="0.25">
      <c r="A30" s="114"/>
      <c r="B30" s="114"/>
      <c r="C30" s="114"/>
      <c r="D30" s="114"/>
      <c r="E30" s="114"/>
      <c r="F30" s="114"/>
      <c r="G30" s="29" t="s">
        <v>62</v>
      </c>
      <c r="H30" s="29" t="s">
        <v>60</v>
      </c>
      <c r="I30" s="29">
        <f>'MERCADO TE'!$U$27</f>
        <v>0</v>
      </c>
      <c r="J30" s="15"/>
      <c r="L30" s="26">
        <f>'TE BE'!$L$30*'TE BE'!$L$48</f>
        <v>0</v>
      </c>
      <c r="M30" s="26">
        <f>'TE BE'!$M$30*'TE BE'!$M$48</f>
        <v>0</v>
      </c>
      <c r="N30" s="26">
        <f>'TE BE'!$N$30*'TE BE'!$N$48</f>
        <v>0</v>
      </c>
      <c r="O30" s="26">
        <f>'TE BE'!$O$30*'TE BE'!$O$48</f>
        <v>0</v>
      </c>
      <c r="P30" s="26">
        <f>'TE BE'!$P$30*'TE BE'!$P$48</f>
        <v>0</v>
      </c>
      <c r="Q30" s="26">
        <f>SUM($L$30:$P$30)</f>
        <v>0</v>
      </c>
      <c r="R30" s="26">
        <f>'TE BE'!$R$30*'TE BE'!$R$48</f>
        <v>-9.4991640210229704</v>
      </c>
      <c r="S30" s="26">
        <f>SUM($R$30:$R$30)</f>
        <v>-9.4991640210229704</v>
      </c>
      <c r="T30" s="26">
        <f>'TE BE'!$T$30*'TE BE'!$T$48</f>
        <v>0</v>
      </c>
      <c r="U30" s="26">
        <f>'TE BE'!$U$30*'TE BE'!$U$48</f>
        <v>0</v>
      </c>
      <c r="V30" s="26">
        <f>'TE BE'!$V$30*'TE BE'!$V$48</f>
        <v>0</v>
      </c>
      <c r="W30" s="26">
        <f>SUM($T$30:$V$30)</f>
        <v>0</v>
      </c>
      <c r="X30" s="26">
        <f>'TE BE'!$AB$30*'TE BE'!$X$48</f>
        <v>0</v>
      </c>
      <c r="Y30" s="26">
        <f>SUM($X$30:$X$30)</f>
        <v>0</v>
      </c>
      <c r="Z30" s="26">
        <f>'TE BE'!$Z$30*'TE BE'!$Z$48</f>
        <v>0</v>
      </c>
      <c r="AA30" s="26">
        <f>SUM($Z$30:$Z$30)</f>
        <v>0</v>
      </c>
      <c r="AB30" s="26">
        <f>SUMIF($L$4:$AA$4,"SUBTOTAL",$L$30:$AA$30)</f>
        <v>-9.4991640210229704</v>
      </c>
    </row>
    <row r="31" spans="1:28" ht="11.25" customHeight="1" x14ac:dyDescent="0.25">
      <c r="A31" s="114"/>
      <c r="B31" s="28" t="s">
        <v>75</v>
      </c>
      <c r="C31" s="28" t="s">
        <v>32</v>
      </c>
      <c r="D31" s="28" t="s">
        <v>80</v>
      </c>
      <c r="E31" s="28" t="s">
        <v>25</v>
      </c>
      <c r="F31" s="28" t="s">
        <v>25</v>
      </c>
      <c r="G31" s="29" t="s">
        <v>67</v>
      </c>
      <c r="H31" s="29" t="s">
        <v>60</v>
      </c>
      <c r="I31" s="29">
        <f>'MERCADO TE'!$U$28</f>
        <v>0</v>
      </c>
      <c r="J31" s="15"/>
      <c r="L31" s="26">
        <f>'TE BE'!$L$31*'TE BE'!$L$48</f>
        <v>0</v>
      </c>
      <c r="M31" s="26">
        <f>'TE BE'!$M$31*'TE BE'!$M$48</f>
        <v>0</v>
      </c>
      <c r="N31" s="26">
        <f>'TE BE'!$N$31*'TE BE'!$N$48</f>
        <v>0</v>
      </c>
      <c r="O31" s="26">
        <f>'TE BE'!$O$31*'TE BE'!$O$48</f>
        <v>0</v>
      </c>
      <c r="P31" s="26">
        <f>'TE BE'!$P$31*'TE BE'!$P$48</f>
        <v>0</v>
      </c>
      <c r="Q31" s="26">
        <f>SUM($L$31:$P$31)</f>
        <v>0</v>
      </c>
      <c r="R31" s="26">
        <f>'TE BE'!$R$31*'TE BE'!$R$48</f>
        <v>-9.4991640210229704</v>
      </c>
      <c r="S31" s="26">
        <f>SUM($R$31:$R$31)</f>
        <v>-9.4991640210229704</v>
      </c>
      <c r="T31" s="26">
        <f>'TE BE'!$T$31*'TE BE'!$T$48</f>
        <v>0</v>
      </c>
      <c r="U31" s="26">
        <f>'TE BE'!$U$31*'TE BE'!$U$48</f>
        <v>0</v>
      </c>
      <c r="V31" s="26">
        <f>'TE BE'!$V$31*'TE BE'!$V$48</f>
        <v>0</v>
      </c>
      <c r="W31" s="26">
        <f>SUM($T$31:$V$31)</f>
        <v>0</v>
      </c>
      <c r="X31" s="26">
        <f>'TE BE'!$AB$31*'TE BE'!$X$48</f>
        <v>0</v>
      </c>
      <c r="Y31" s="26">
        <f>SUM($X$31:$X$31)</f>
        <v>0</v>
      </c>
      <c r="Z31" s="26">
        <f>'TE BE'!$Z$31*'TE BE'!$Z$48</f>
        <v>0</v>
      </c>
      <c r="AA31" s="26">
        <f>SUM($Z$31:$Z$31)</f>
        <v>0</v>
      </c>
      <c r="AB31" s="26">
        <f>SUMIF($L$4:$AA$4,"SUBTOTAL",$L$31:$AA$31)</f>
        <v>-9.4991640210229704</v>
      </c>
    </row>
    <row r="32" spans="1:28" ht="11.25" customHeight="1" x14ac:dyDescent="0.25">
      <c r="A32" s="114"/>
      <c r="B32" s="114" t="s">
        <v>77</v>
      </c>
      <c r="C32" s="114" t="s">
        <v>32</v>
      </c>
      <c r="D32" s="28" t="s">
        <v>25</v>
      </c>
      <c r="E32" s="28" t="s">
        <v>25</v>
      </c>
      <c r="F32" s="28" t="s">
        <v>25</v>
      </c>
      <c r="G32" s="29" t="s">
        <v>67</v>
      </c>
      <c r="H32" s="29" t="s">
        <v>60</v>
      </c>
      <c r="I32" s="29">
        <f>'MERCADO TE'!$U$29</f>
        <v>0</v>
      </c>
      <c r="J32" s="15"/>
      <c r="L32" s="26">
        <f>'TE BE'!$L$32*'TE BE'!$L$48</f>
        <v>0</v>
      </c>
      <c r="M32" s="26">
        <f>'TE BE'!$M$32*'TE BE'!$M$48</f>
        <v>0</v>
      </c>
      <c r="N32" s="26">
        <f>'TE BE'!$N$32*'TE BE'!$N$48</f>
        <v>0</v>
      </c>
      <c r="O32" s="26">
        <f>'TE BE'!$O$32*'TE BE'!$O$48</f>
        <v>0</v>
      </c>
      <c r="P32" s="26">
        <f>'TE BE'!$P$32*'TE BE'!$P$48</f>
        <v>0</v>
      </c>
      <c r="Q32" s="26">
        <f>SUM($L$32:$P$32)</f>
        <v>0</v>
      </c>
      <c r="R32" s="26">
        <f>'TE BE'!$R$32*'TE BE'!$R$48</f>
        <v>-9.4991640210229704</v>
      </c>
      <c r="S32" s="26">
        <f>SUM($R$32:$R$32)</f>
        <v>-9.4991640210229704</v>
      </c>
      <c r="T32" s="26">
        <f>'TE BE'!$T$32*'TE BE'!$T$48</f>
        <v>0</v>
      </c>
      <c r="U32" s="26">
        <f>'TE BE'!$U$32*'TE BE'!$U$48</f>
        <v>0</v>
      </c>
      <c r="V32" s="26">
        <f>'TE BE'!$V$32*'TE BE'!$V$48</f>
        <v>0</v>
      </c>
      <c r="W32" s="26">
        <f>SUM($T$32:$V$32)</f>
        <v>0</v>
      </c>
      <c r="X32" s="26">
        <f>'TE BE'!$AB$32*'TE BE'!$X$48</f>
        <v>0</v>
      </c>
      <c r="Y32" s="26">
        <f>SUM($X$32:$X$32)</f>
        <v>0</v>
      </c>
      <c r="Z32" s="26">
        <f>'TE BE'!$Z$32*'TE BE'!$Z$48</f>
        <v>0</v>
      </c>
      <c r="AA32" s="26">
        <f>SUM($Z$32:$Z$32)</f>
        <v>0</v>
      </c>
      <c r="AB32" s="26">
        <f>SUMIF($L$4:$AA$4,"SUBTOTAL",$L$32:$AA$32)</f>
        <v>-9.4991640210229704</v>
      </c>
    </row>
    <row r="33" spans="1:28" ht="11.25" customHeight="1" x14ac:dyDescent="0.25">
      <c r="A33" s="114"/>
      <c r="B33" s="114"/>
      <c r="C33" s="114"/>
      <c r="D33" s="28" t="s">
        <v>79</v>
      </c>
      <c r="E33" s="28" t="s">
        <v>25</v>
      </c>
      <c r="F33" s="28" t="s">
        <v>25</v>
      </c>
      <c r="G33" s="29" t="s">
        <v>67</v>
      </c>
      <c r="H33" s="29" t="s">
        <v>60</v>
      </c>
      <c r="I33" s="29">
        <f>'MERCADO TE'!$U$30</f>
        <v>0</v>
      </c>
      <c r="J33" s="15"/>
      <c r="L33" s="26">
        <f>'TE BE'!$L$33*'TE BE'!$L$48</f>
        <v>0</v>
      </c>
      <c r="M33" s="26">
        <f>'TE BE'!$M$33*'TE BE'!$M$48</f>
        <v>0</v>
      </c>
      <c r="N33" s="26">
        <f>'TE BE'!$N$33*'TE BE'!$N$48</f>
        <v>0</v>
      </c>
      <c r="O33" s="26">
        <f>'TE BE'!$O$33*'TE BE'!$O$48</f>
        <v>0</v>
      </c>
      <c r="P33" s="26">
        <f>'TE BE'!$P$33*'TE BE'!$P$48</f>
        <v>0</v>
      </c>
      <c r="Q33" s="26">
        <f>SUM($L$33:$P$33)</f>
        <v>0</v>
      </c>
      <c r="R33" s="26">
        <f>'TE BE'!$R$33*'TE BE'!$R$48</f>
        <v>-9.4991640210229704</v>
      </c>
      <c r="S33" s="26">
        <f>SUM($R$33:$R$33)</f>
        <v>-9.4991640210229704</v>
      </c>
      <c r="T33" s="26">
        <f>'TE BE'!$T$33*'TE BE'!$T$48</f>
        <v>0</v>
      </c>
      <c r="U33" s="26">
        <f>'TE BE'!$U$33*'TE BE'!$U$48</f>
        <v>0</v>
      </c>
      <c r="V33" s="26">
        <f>'TE BE'!$V$33*'TE BE'!$V$48</f>
        <v>0</v>
      </c>
      <c r="W33" s="26">
        <f>SUM($T$33:$V$33)</f>
        <v>0</v>
      </c>
      <c r="X33" s="26">
        <f>'TE BE'!$AB$33*'TE BE'!$X$48</f>
        <v>0</v>
      </c>
      <c r="Y33" s="26">
        <f>SUM($X$33:$X$33)</f>
        <v>0</v>
      </c>
      <c r="Z33" s="26">
        <f>'TE BE'!$Z$33*'TE BE'!$Z$48</f>
        <v>0</v>
      </c>
      <c r="AA33" s="26">
        <f>SUM($Z$33:$Z$33)</f>
        <v>0</v>
      </c>
      <c r="AB33" s="26">
        <f>SUMIF($L$4:$AA$4,"SUBTOTAL",$L$33:$AA$33)</f>
        <v>-9.4991640210229704</v>
      </c>
    </row>
    <row r="34" spans="1:28" ht="11.25" customHeight="1" x14ac:dyDescent="0.25">
      <c r="A34" s="114"/>
      <c r="B34" s="114"/>
      <c r="C34" s="114"/>
      <c r="D34" s="28" t="s">
        <v>80</v>
      </c>
      <c r="E34" s="28" t="s">
        <v>25</v>
      </c>
      <c r="F34" s="28" t="s">
        <v>25</v>
      </c>
      <c r="G34" s="29" t="s">
        <v>67</v>
      </c>
      <c r="H34" s="29" t="s">
        <v>60</v>
      </c>
      <c r="I34" s="29">
        <f>'MERCADO TE'!$U$31</f>
        <v>0</v>
      </c>
      <c r="J34" s="15"/>
      <c r="L34" s="26">
        <f>'TE BE'!$L$34*'TE BE'!$L$48</f>
        <v>0</v>
      </c>
      <c r="M34" s="26">
        <f>'TE BE'!$M$34*'TE BE'!$M$48</f>
        <v>0</v>
      </c>
      <c r="N34" s="26">
        <f>'TE BE'!$N$34*'TE BE'!$N$48</f>
        <v>0</v>
      </c>
      <c r="O34" s="26">
        <f>'TE BE'!$O$34*'TE BE'!$O$48</f>
        <v>0</v>
      </c>
      <c r="P34" s="26">
        <f>'TE BE'!$P$34*'TE BE'!$P$48</f>
        <v>0</v>
      </c>
      <c r="Q34" s="26">
        <f>SUM($L$34:$P$34)</f>
        <v>0</v>
      </c>
      <c r="R34" s="26">
        <f>'TE BE'!$R$34*'TE BE'!$R$48</f>
        <v>-9.4991640210229704</v>
      </c>
      <c r="S34" s="26">
        <f>SUM($R$34:$R$34)</f>
        <v>-9.4991640210229704</v>
      </c>
      <c r="T34" s="26">
        <f>'TE BE'!$T$34*'TE BE'!$T$48</f>
        <v>0</v>
      </c>
      <c r="U34" s="26">
        <f>'TE BE'!$U$34*'TE BE'!$U$48</f>
        <v>0</v>
      </c>
      <c r="V34" s="26">
        <f>'TE BE'!$V$34*'TE BE'!$V$48</f>
        <v>0</v>
      </c>
      <c r="W34" s="26">
        <f>SUM($T$34:$V$34)</f>
        <v>0</v>
      </c>
      <c r="X34" s="26">
        <f>'TE BE'!$AB$34*'TE BE'!$X$48</f>
        <v>0</v>
      </c>
      <c r="Y34" s="26">
        <f>SUM($X$34:$X$34)</f>
        <v>0</v>
      </c>
      <c r="Z34" s="26">
        <f>'TE BE'!$Z$34*'TE BE'!$Z$48</f>
        <v>0</v>
      </c>
      <c r="AA34" s="26">
        <f>SUM($Z$34:$Z$34)</f>
        <v>0</v>
      </c>
      <c r="AB34" s="26">
        <f>SUMIF($L$4:$AA$4,"SUBTOTAL",$L$34:$AA$34)</f>
        <v>-9.4991640210229704</v>
      </c>
    </row>
    <row r="35" spans="1:28" ht="11.25" customHeight="1" x14ac:dyDescent="0.25">
      <c r="A35" s="114" t="s">
        <v>28</v>
      </c>
      <c r="B35" s="114" t="s">
        <v>59</v>
      </c>
      <c r="C35" s="114" t="s">
        <v>25</v>
      </c>
      <c r="D35" s="114" t="s">
        <v>25</v>
      </c>
      <c r="E35" s="114" t="s">
        <v>25</v>
      </c>
      <c r="F35" s="114" t="s">
        <v>25</v>
      </c>
      <c r="G35" s="29" t="s">
        <v>61</v>
      </c>
      <c r="H35" s="29" t="s">
        <v>60</v>
      </c>
      <c r="I35" s="29">
        <f>'MERCADO TE'!$U$32</f>
        <v>0</v>
      </c>
      <c r="J35" s="15"/>
      <c r="L35" s="26">
        <f>'TE BE'!$L$35*'TE BE'!$L$48</f>
        <v>0</v>
      </c>
      <c r="M35" s="26">
        <f>'TE BE'!$M$35*'TE BE'!$M$48</f>
        <v>0</v>
      </c>
      <c r="N35" s="26">
        <f>'TE BE'!$N$35*'TE BE'!$N$48</f>
        <v>0</v>
      </c>
      <c r="O35" s="26">
        <f>'TE BE'!$O$35*'TE BE'!$O$48</f>
        <v>0</v>
      </c>
      <c r="P35" s="26">
        <f>'TE BE'!$P$35*'TE BE'!$P$48</f>
        <v>0</v>
      </c>
      <c r="Q35" s="26">
        <f>SUM($L$35:$P$35)</f>
        <v>0</v>
      </c>
      <c r="R35" s="26">
        <f>'TE BE'!$R$35*'TE BE'!$R$48</f>
        <v>-9.4991640210229704</v>
      </c>
      <c r="S35" s="26">
        <f>SUM($R$35:$R$35)</f>
        <v>-9.4991640210229704</v>
      </c>
      <c r="T35" s="26">
        <f>'TE BE'!$T$35*'TE BE'!$T$48</f>
        <v>0</v>
      </c>
      <c r="U35" s="26">
        <f>'TE BE'!$U$35*'TE BE'!$U$48</f>
        <v>0</v>
      </c>
      <c r="V35" s="26">
        <f>'TE BE'!$V$35*'TE BE'!$V$48</f>
        <v>0</v>
      </c>
      <c r="W35" s="26">
        <f>SUM($T$35:$V$35)</f>
        <v>0</v>
      </c>
      <c r="X35" s="26">
        <f>'TE BE'!$AB$35*'TE BE'!$X$48</f>
        <v>0</v>
      </c>
      <c r="Y35" s="26">
        <f>SUM($X$35:$X$35)</f>
        <v>0</v>
      </c>
      <c r="Z35" s="26">
        <f>'TE BE'!$Z$35*'TE BE'!$Z$48</f>
        <v>0</v>
      </c>
      <c r="AA35" s="26">
        <f>SUM($Z$35:$Z$35)</f>
        <v>0</v>
      </c>
      <c r="AB35" s="26">
        <f>SUMIF($L$4:$AA$4,"SUBTOTAL",$L$35:$AA$35)</f>
        <v>-9.4991640210229704</v>
      </c>
    </row>
    <row r="36" spans="1:28" ht="11.25" customHeight="1" x14ac:dyDescent="0.25">
      <c r="A36" s="114"/>
      <c r="B36" s="114"/>
      <c r="C36" s="114"/>
      <c r="D36" s="114"/>
      <c r="E36" s="114"/>
      <c r="F36" s="114"/>
      <c r="G36" s="29" t="s">
        <v>74</v>
      </c>
      <c r="H36" s="29" t="s">
        <v>60</v>
      </c>
      <c r="I36" s="29">
        <f>'MERCADO TE'!$U$33</f>
        <v>0</v>
      </c>
      <c r="J36" s="15"/>
      <c r="L36" s="26">
        <f>'TE BE'!$L$36*'TE BE'!$L$48</f>
        <v>0</v>
      </c>
      <c r="M36" s="26">
        <f>'TE BE'!$M$36*'TE BE'!$M$48</f>
        <v>0</v>
      </c>
      <c r="N36" s="26">
        <f>'TE BE'!$N$36*'TE BE'!$N$48</f>
        <v>0</v>
      </c>
      <c r="O36" s="26">
        <f>'TE BE'!$O$36*'TE BE'!$O$48</f>
        <v>0</v>
      </c>
      <c r="P36" s="26">
        <f>'TE BE'!$P$36*'TE BE'!$P$48</f>
        <v>0</v>
      </c>
      <c r="Q36" s="26">
        <f>SUM($L$36:$P$36)</f>
        <v>0</v>
      </c>
      <c r="R36" s="26">
        <f>'TE BE'!$R$36*'TE BE'!$R$48</f>
        <v>-9.4991640210229704</v>
      </c>
      <c r="S36" s="26">
        <f>SUM($R$36:$R$36)</f>
        <v>-9.4991640210229704</v>
      </c>
      <c r="T36" s="26">
        <f>'TE BE'!$T$36*'TE BE'!$T$48</f>
        <v>0</v>
      </c>
      <c r="U36" s="26">
        <f>'TE BE'!$U$36*'TE BE'!$U$48</f>
        <v>0</v>
      </c>
      <c r="V36" s="26">
        <f>'TE BE'!$V$36*'TE BE'!$V$48</f>
        <v>0</v>
      </c>
      <c r="W36" s="26">
        <f>SUM($T$36:$V$36)</f>
        <v>0</v>
      </c>
      <c r="X36" s="26">
        <f>'TE BE'!$AB$36*'TE BE'!$X$48</f>
        <v>0</v>
      </c>
      <c r="Y36" s="26">
        <f>SUM($X$36:$X$36)</f>
        <v>0</v>
      </c>
      <c r="Z36" s="26">
        <f>'TE BE'!$Z$36*'TE BE'!$Z$48</f>
        <v>0</v>
      </c>
      <c r="AA36" s="26">
        <f>SUM($Z$36:$Z$36)</f>
        <v>0</v>
      </c>
      <c r="AB36" s="26">
        <f>SUMIF($L$4:$AA$4,"SUBTOTAL",$L$36:$AA$36)</f>
        <v>-9.4991640210229704</v>
      </c>
    </row>
    <row r="37" spans="1:28" ht="11.25" customHeight="1" x14ac:dyDescent="0.25">
      <c r="A37" s="114"/>
      <c r="B37" s="114"/>
      <c r="C37" s="114"/>
      <c r="D37" s="114"/>
      <c r="E37" s="114"/>
      <c r="F37" s="114"/>
      <c r="G37" s="29" t="s">
        <v>62</v>
      </c>
      <c r="H37" s="29" t="s">
        <v>60</v>
      </c>
      <c r="I37" s="29">
        <f>'MERCADO TE'!$U$34</f>
        <v>0</v>
      </c>
      <c r="J37" s="15"/>
      <c r="L37" s="26">
        <f>'TE BE'!$L$37*'TE BE'!$L$48</f>
        <v>0</v>
      </c>
      <c r="M37" s="26">
        <f>'TE BE'!$M$37*'TE BE'!$M$48</f>
        <v>0</v>
      </c>
      <c r="N37" s="26">
        <f>'TE BE'!$N$37*'TE BE'!$N$48</f>
        <v>0</v>
      </c>
      <c r="O37" s="26">
        <f>'TE BE'!$O$37*'TE BE'!$O$48</f>
        <v>0</v>
      </c>
      <c r="P37" s="26">
        <f>'TE BE'!$P$37*'TE BE'!$P$48</f>
        <v>0</v>
      </c>
      <c r="Q37" s="26">
        <f>SUM($L$37:$P$37)</f>
        <v>0</v>
      </c>
      <c r="R37" s="26">
        <f>'TE BE'!$R$37*'TE BE'!$R$48</f>
        <v>-9.4991640210229704</v>
      </c>
      <c r="S37" s="26">
        <f>SUM($R$37:$R$37)</f>
        <v>-9.4991640210229704</v>
      </c>
      <c r="T37" s="26">
        <f>'TE BE'!$T$37*'TE BE'!$T$48</f>
        <v>0</v>
      </c>
      <c r="U37" s="26">
        <f>'TE BE'!$U$37*'TE BE'!$U$48</f>
        <v>0</v>
      </c>
      <c r="V37" s="26">
        <f>'TE BE'!$V$37*'TE BE'!$V$48</f>
        <v>0</v>
      </c>
      <c r="W37" s="26">
        <f>SUM($T$37:$V$37)</f>
        <v>0</v>
      </c>
      <c r="X37" s="26">
        <f>'TE BE'!$AB$37*'TE BE'!$X$48</f>
        <v>0</v>
      </c>
      <c r="Y37" s="26">
        <f>SUM($X$37:$X$37)</f>
        <v>0</v>
      </c>
      <c r="Z37" s="26">
        <f>'TE BE'!$Z$37*'TE BE'!$Z$48</f>
        <v>0</v>
      </c>
      <c r="AA37" s="26">
        <f>SUM($Z$37:$Z$37)</f>
        <v>0</v>
      </c>
      <c r="AB37" s="26">
        <f>SUMIF($L$4:$AA$4,"SUBTOTAL",$L$37:$AA$37)</f>
        <v>-9.4991640210229704</v>
      </c>
    </row>
    <row r="38" spans="1:28" ht="11.25" customHeight="1" x14ac:dyDescent="0.25">
      <c r="A38" s="114"/>
      <c r="B38" s="28" t="s">
        <v>75</v>
      </c>
      <c r="C38" s="28" t="s">
        <v>25</v>
      </c>
      <c r="D38" s="28" t="s">
        <v>25</v>
      </c>
      <c r="E38" s="28" t="s">
        <v>25</v>
      </c>
      <c r="F38" s="28" t="s">
        <v>25</v>
      </c>
      <c r="G38" s="29" t="s">
        <v>67</v>
      </c>
      <c r="H38" s="29" t="s">
        <v>60</v>
      </c>
      <c r="I38" s="29">
        <f>'MERCADO TE'!$U$35</f>
        <v>3301.431</v>
      </c>
      <c r="J38" s="15"/>
      <c r="L38" s="26">
        <f>'TE BE'!$L$38*'TE BE'!$L$48</f>
        <v>0</v>
      </c>
      <c r="M38" s="26">
        <f>'TE BE'!$M$38*'TE BE'!$M$48</f>
        <v>0</v>
      </c>
      <c r="N38" s="26">
        <f>'TE BE'!$N$38*'TE BE'!$N$48</f>
        <v>0</v>
      </c>
      <c r="O38" s="26">
        <f>'TE BE'!$O$38*'TE BE'!$O$48</f>
        <v>0</v>
      </c>
      <c r="P38" s="26">
        <f>'TE BE'!$P$38*'TE BE'!$P$48</f>
        <v>0</v>
      </c>
      <c r="Q38" s="26">
        <f>SUM($L$38:$P$38)</f>
        <v>0</v>
      </c>
      <c r="R38" s="26">
        <f>'TE BE'!$R$38*'TE BE'!$R$48</f>
        <v>-9.4991640210229704</v>
      </c>
      <c r="S38" s="26">
        <f>SUM($R$38:$R$38)</f>
        <v>-9.4991640210229704</v>
      </c>
      <c r="T38" s="26">
        <f>'TE BE'!$T$38*'TE BE'!$T$48</f>
        <v>0</v>
      </c>
      <c r="U38" s="26">
        <f>'TE BE'!$U$38*'TE BE'!$U$48</f>
        <v>0</v>
      </c>
      <c r="V38" s="26">
        <f>'TE BE'!$V$38*'TE BE'!$V$48</f>
        <v>0</v>
      </c>
      <c r="W38" s="26">
        <f>SUM($T$38:$V$38)</f>
        <v>0</v>
      </c>
      <c r="X38" s="26">
        <f>'TE BE'!$AB$38*'TE BE'!$X$48</f>
        <v>0</v>
      </c>
      <c r="Y38" s="26">
        <f>SUM($X$38:$X$38)</f>
        <v>0</v>
      </c>
      <c r="Z38" s="26">
        <f>'TE BE'!$Z$38*'TE BE'!$Z$48</f>
        <v>0</v>
      </c>
      <c r="AA38" s="26">
        <f>SUM($Z$38:$Z$38)</f>
        <v>0</v>
      </c>
      <c r="AB38" s="26">
        <f>SUMIF($L$4:$AA$4,"SUBTOTAL",$L$38:$AA$38)</f>
        <v>-9.4991640210229704</v>
      </c>
    </row>
    <row r="39" spans="1:28" ht="11.25" customHeight="1" x14ac:dyDescent="0.25">
      <c r="A39" s="114"/>
      <c r="B39" s="28" t="s">
        <v>77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67</v>
      </c>
      <c r="H39" s="29" t="s">
        <v>60</v>
      </c>
      <c r="I39" s="29">
        <f>'MERCADO TE'!$U$36</f>
        <v>0</v>
      </c>
      <c r="J39" s="15"/>
      <c r="L39" s="26">
        <f>'TE BE'!$L$39*'TE BE'!$L$48</f>
        <v>0</v>
      </c>
      <c r="M39" s="26">
        <f>'TE BE'!$M$39*'TE BE'!$M$48</f>
        <v>0</v>
      </c>
      <c r="N39" s="26">
        <f>'TE BE'!$N$39*'TE BE'!$N$48</f>
        <v>0</v>
      </c>
      <c r="O39" s="26">
        <f>'TE BE'!$O$39*'TE BE'!$O$48</f>
        <v>0</v>
      </c>
      <c r="P39" s="26">
        <f>'TE BE'!$P$39*'TE BE'!$P$48</f>
        <v>0</v>
      </c>
      <c r="Q39" s="26">
        <f>SUM($L$39:$P$39)</f>
        <v>0</v>
      </c>
      <c r="R39" s="26">
        <f>'TE BE'!$R$39*'TE BE'!$R$48</f>
        <v>-9.4991640210229704</v>
      </c>
      <c r="S39" s="26">
        <f>SUM($R$39:$R$39)</f>
        <v>-9.4991640210229704</v>
      </c>
      <c r="T39" s="26">
        <f>'TE BE'!$T$39*'TE BE'!$T$48</f>
        <v>0</v>
      </c>
      <c r="U39" s="26">
        <f>'TE BE'!$U$39*'TE BE'!$U$48</f>
        <v>0</v>
      </c>
      <c r="V39" s="26">
        <f>'TE BE'!$V$39*'TE BE'!$V$48</f>
        <v>0</v>
      </c>
      <c r="W39" s="26">
        <f>SUM($T$39:$V$39)</f>
        <v>0</v>
      </c>
      <c r="X39" s="26">
        <f>'TE BE'!$AB$39*'TE BE'!$X$48</f>
        <v>0</v>
      </c>
      <c r="Y39" s="26">
        <f>SUM($X$39:$X$39)</f>
        <v>0</v>
      </c>
      <c r="Z39" s="26">
        <f>'TE BE'!$Z$39*'TE BE'!$Z$48</f>
        <v>0</v>
      </c>
      <c r="AA39" s="26">
        <f>SUM($Z$39:$Z$39)</f>
        <v>0</v>
      </c>
      <c r="AB39" s="26">
        <f>SUMIF($L$4:$AA$4,"SUBTOTAL",$L$39:$AA$39)</f>
        <v>-9.4991640210229704</v>
      </c>
    </row>
    <row r="40" spans="1:28" ht="11.25" customHeight="1" x14ac:dyDescent="0.25">
      <c r="A40" s="114" t="s">
        <v>34</v>
      </c>
      <c r="B40" s="114" t="s">
        <v>75</v>
      </c>
      <c r="C40" s="114" t="s">
        <v>35</v>
      </c>
      <c r="D40" s="28" t="s">
        <v>36</v>
      </c>
      <c r="E40" s="28" t="s">
        <v>25</v>
      </c>
      <c r="F40" s="28" t="s">
        <v>25</v>
      </c>
      <c r="G40" s="29" t="s">
        <v>67</v>
      </c>
      <c r="H40" s="29" t="s">
        <v>60</v>
      </c>
      <c r="I40" s="29">
        <f>'MERCADO TE'!$U$37</f>
        <v>274.32500000000005</v>
      </c>
      <c r="J40" s="15"/>
      <c r="L40" s="26">
        <f>'TE BE'!$L$40*'TE BE'!$L$48</f>
        <v>0</v>
      </c>
      <c r="M40" s="26">
        <f>'TE BE'!$M$40*'TE BE'!$M$48</f>
        <v>0</v>
      </c>
      <c r="N40" s="26">
        <f>'TE BE'!$N$40*'TE BE'!$N$48</f>
        <v>0</v>
      </c>
      <c r="O40" s="26">
        <f>'TE BE'!$O$40*'TE BE'!$O$48</f>
        <v>0</v>
      </c>
      <c r="P40" s="26">
        <f>'TE BE'!$P$40*'TE BE'!$P$48</f>
        <v>0</v>
      </c>
      <c r="Q40" s="26">
        <f>SUM($L$40:$P$40)</f>
        <v>0</v>
      </c>
      <c r="R40" s="26">
        <f>'TE BE'!$R$40*'TE BE'!$R$48</f>
        <v>-5.2245402115626343</v>
      </c>
      <c r="S40" s="26">
        <f>SUM($R$40:$R$40)</f>
        <v>-5.2245402115626343</v>
      </c>
      <c r="T40" s="26">
        <f>'TE BE'!$T$40*'TE BE'!$T$48</f>
        <v>0</v>
      </c>
      <c r="U40" s="26">
        <f>'TE BE'!$U$40*'TE BE'!$U$48</f>
        <v>0</v>
      </c>
      <c r="V40" s="26">
        <f>'TE BE'!$V$40*'TE BE'!$V$48</f>
        <v>0</v>
      </c>
      <c r="W40" s="26">
        <f>SUM($T$40:$V$40)</f>
        <v>0</v>
      </c>
      <c r="X40" s="26">
        <f>'TE BE'!$AB$40*'TE BE'!$X$48</f>
        <v>0</v>
      </c>
      <c r="Y40" s="26">
        <f>SUM($X$40:$X$40)</f>
        <v>0</v>
      </c>
      <c r="Z40" s="26">
        <f>'TE BE'!$Z$40*'TE BE'!$Z$48</f>
        <v>0</v>
      </c>
      <c r="AA40" s="26">
        <f>SUM($Z$40:$Z$40)</f>
        <v>0</v>
      </c>
      <c r="AB40" s="26">
        <f>SUMIF($L$4:$AA$4,"SUBTOTAL",$L$40:$AA$40)</f>
        <v>-5.2245402115626343</v>
      </c>
    </row>
    <row r="41" spans="1:28" ht="11.25" customHeight="1" x14ac:dyDescent="0.25">
      <c r="A41" s="114"/>
      <c r="B41" s="114"/>
      <c r="C41" s="114"/>
      <c r="D41" s="29" t="s">
        <v>81</v>
      </c>
      <c r="E41" s="29" t="s">
        <v>25</v>
      </c>
      <c r="F41" s="29" t="s">
        <v>25</v>
      </c>
      <c r="G41" s="29" t="s">
        <v>67</v>
      </c>
      <c r="H41" s="29" t="s">
        <v>60</v>
      </c>
      <c r="I41" s="29">
        <f>'MERCADO TE'!$U$38</f>
        <v>0</v>
      </c>
      <c r="J41" s="15"/>
      <c r="L41" s="26">
        <f>'TE BE'!$L$41*'TE BE'!$L$48</f>
        <v>0</v>
      </c>
      <c r="M41" s="26">
        <f>'TE BE'!$M$41*'TE BE'!$M$48</f>
        <v>0</v>
      </c>
      <c r="N41" s="26">
        <f>'TE BE'!$N$41*'TE BE'!$N$48</f>
        <v>0</v>
      </c>
      <c r="O41" s="26">
        <f>'TE BE'!$O$41*'TE BE'!$O$48</f>
        <v>0</v>
      </c>
      <c r="P41" s="26">
        <f>'TE BE'!$P$41*'TE BE'!$P$48</f>
        <v>0</v>
      </c>
      <c r="Q41" s="26">
        <f>SUM($L$41:$P$41)</f>
        <v>0</v>
      </c>
      <c r="R41" s="26">
        <f>'TE BE'!$R$41*'TE BE'!$R$48</f>
        <v>-5.6994984126137824</v>
      </c>
      <c r="S41" s="26">
        <f>SUM($R$41:$R$41)</f>
        <v>-5.6994984126137824</v>
      </c>
      <c r="T41" s="26">
        <f>'TE BE'!$T$41*'TE BE'!$T$48</f>
        <v>0</v>
      </c>
      <c r="U41" s="26">
        <f>'TE BE'!$U$41*'TE BE'!$U$48</f>
        <v>0</v>
      </c>
      <c r="V41" s="26">
        <f>'TE BE'!$V$41*'TE BE'!$V$48</f>
        <v>0</v>
      </c>
      <c r="W41" s="26">
        <f>SUM($T$41:$V$41)</f>
        <v>0</v>
      </c>
      <c r="X41" s="26">
        <f>'TE BE'!$AB$41*'TE BE'!$X$48</f>
        <v>0</v>
      </c>
      <c r="Y41" s="26">
        <f>SUM($X$41:$X$41)</f>
        <v>0</v>
      </c>
      <c r="Z41" s="26">
        <f>'TE BE'!$Z$41*'TE BE'!$Z$48</f>
        <v>0</v>
      </c>
      <c r="AA41" s="26">
        <f>SUM($Z$41:$Z$41)</f>
        <v>0</v>
      </c>
      <c r="AB41" s="26">
        <f>SUMIF($L$4:$AA$4,"SUBTOTAL",$L$41:$AA$41)</f>
        <v>-5.6994984126137824</v>
      </c>
    </row>
    <row r="43" spans="1:28" ht="11.25" customHeight="1" x14ac:dyDescent="0.25">
      <c r="K43" s="31" t="s">
        <v>387</v>
      </c>
      <c r="L43" s="26">
        <f t="shared" ref="L43:AB43" si="0">SUMPRODUCT($I$5:$I$41,L$5:L$41)</f>
        <v>0</v>
      </c>
      <c r="M43" s="26">
        <f t="shared" si="0"/>
        <v>0</v>
      </c>
      <c r="N43" s="26">
        <f t="shared" si="0"/>
        <v>0</v>
      </c>
      <c r="O43" s="26">
        <f t="shared" si="0"/>
        <v>0</v>
      </c>
      <c r="P43" s="26">
        <f t="shared" si="0"/>
        <v>0</v>
      </c>
      <c r="Q43" s="26">
        <f t="shared" si="0"/>
        <v>0</v>
      </c>
      <c r="R43" s="26">
        <f t="shared" si="0"/>
        <v>-125900.21720948769</v>
      </c>
      <c r="S43" s="26">
        <f t="shared" si="0"/>
        <v>-125900.21720948769</v>
      </c>
      <c r="T43" s="26">
        <f t="shared" si="0"/>
        <v>0</v>
      </c>
      <c r="U43" s="26">
        <f t="shared" si="0"/>
        <v>0</v>
      </c>
      <c r="V43" s="26">
        <f t="shared" si="0"/>
        <v>0</v>
      </c>
      <c r="W43" s="26">
        <f t="shared" si="0"/>
        <v>0</v>
      </c>
      <c r="X43" s="26">
        <f t="shared" si="0"/>
        <v>0</v>
      </c>
      <c r="Y43" s="26">
        <f t="shared" si="0"/>
        <v>0</v>
      </c>
      <c r="Z43" s="26">
        <f t="shared" si="0"/>
        <v>0</v>
      </c>
      <c r="AA43" s="26">
        <f t="shared" si="0"/>
        <v>0</v>
      </c>
      <c r="AB43" s="26">
        <f t="shared" si="0"/>
        <v>-125900.21720948769</v>
      </c>
    </row>
    <row r="44" spans="1:28" ht="11.25" customHeight="1" x14ac:dyDescent="0.25">
      <c r="K44" s="31" t="s">
        <v>305</v>
      </c>
      <c r="L44" s="26">
        <f>CUSTOS!$D$30</f>
        <v>0</v>
      </c>
      <c r="M44" s="26">
        <f>CUSTOS!$D$31</f>
        <v>0</v>
      </c>
      <c r="N44" s="26">
        <f>CUSTOS!$D$32</f>
        <v>0</v>
      </c>
      <c r="O44" s="26">
        <f>CUSTOS!$D$33</f>
        <v>0</v>
      </c>
      <c r="P44" s="26">
        <f>CUSTOS!$D$34</f>
        <v>0</v>
      </c>
      <c r="Q44" s="26">
        <f>CUSTOS!$D$35</f>
        <v>0</v>
      </c>
      <c r="R44" s="26">
        <f>CUSTOS!$D$36</f>
        <v>2671968.4028430749</v>
      </c>
      <c r="S44" s="26">
        <f>CUSTOS!$D$37</f>
        <v>2671968.4028430749</v>
      </c>
      <c r="T44" s="26">
        <f>CUSTOS!$D$38</f>
        <v>0</v>
      </c>
      <c r="U44" s="26">
        <f>CUSTOS!$D$39</f>
        <v>0</v>
      </c>
      <c r="V44" s="26">
        <f>CUSTOS!$D$40</f>
        <v>0</v>
      </c>
      <c r="W44" s="26">
        <f>CUSTOS!$D$41</f>
        <v>0</v>
      </c>
      <c r="X44" s="26">
        <f>CUSTOS!$D$42</f>
        <v>0</v>
      </c>
      <c r="Y44" s="26">
        <f>CUSTOS!$D$43</f>
        <v>0</v>
      </c>
      <c r="Z44" s="26">
        <f>CUSTOS!$D$44</f>
        <v>0</v>
      </c>
      <c r="AA44" s="26">
        <f>CUSTOS!$D$45</f>
        <v>0</v>
      </c>
      <c r="AB44" s="26">
        <f>CUSTOS!$D$46</f>
        <v>2671968.4028430749</v>
      </c>
    </row>
    <row r="45" spans="1:28" ht="11.25" customHeight="1" x14ac:dyDescent="0.25">
      <c r="K45" s="31" t="s">
        <v>306</v>
      </c>
      <c r="L45" s="26">
        <f>CUSTOS!$E$30</f>
        <v>0</v>
      </c>
      <c r="M45" s="26">
        <f>CUSTOS!$E$31</f>
        <v>0</v>
      </c>
      <c r="N45" s="26">
        <f>CUSTOS!$E$32</f>
        <v>0</v>
      </c>
      <c r="O45" s="26">
        <f>CUSTOS!$E$33</f>
        <v>0</v>
      </c>
      <c r="P45" s="26">
        <f>CUSTOS!$E$34</f>
        <v>0</v>
      </c>
      <c r="Q45" s="26">
        <f>CUSTOS!$E$35</f>
        <v>0</v>
      </c>
      <c r="R45" s="26">
        <f>CUSTOS!$E$36</f>
        <v>-125900.21720948769</v>
      </c>
      <c r="S45" s="26">
        <f>CUSTOS!$E$37</f>
        <v>-125900.21720948769</v>
      </c>
      <c r="T45" s="26">
        <f>CUSTOS!$E$38</f>
        <v>0</v>
      </c>
      <c r="U45" s="26">
        <f>CUSTOS!$E$39</f>
        <v>0</v>
      </c>
      <c r="V45" s="26">
        <f>CUSTOS!$E$40</f>
        <v>0</v>
      </c>
      <c r="W45" s="26">
        <f>CUSTOS!$E$41</f>
        <v>0</v>
      </c>
      <c r="X45" s="26">
        <f>CUSTOS!$E$42</f>
        <v>0</v>
      </c>
      <c r="Y45" s="26">
        <f>CUSTOS!$E$43</f>
        <v>0</v>
      </c>
      <c r="Z45" s="26">
        <f>CUSTOS!$E$44</f>
        <v>0</v>
      </c>
      <c r="AA45" s="26">
        <f>CUSTOS!$E$45</f>
        <v>0</v>
      </c>
      <c r="AB45" s="26">
        <f>CUSTOS!$E$46</f>
        <v>-125900.21720948769</v>
      </c>
    </row>
    <row r="46" spans="1:28" ht="11.25" customHeight="1" x14ac:dyDescent="0.25">
      <c r="K46" s="31" t="s">
        <v>307</v>
      </c>
      <c r="L46" s="26">
        <f>CUSTOS!$F$30</f>
        <v>0</v>
      </c>
      <c r="M46" s="26">
        <f>CUSTOS!$F$31</f>
        <v>0</v>
      </c>
      <c r="N46" s="26">
        <f>CUSTOS!$F$32</f>
        <v>0</v>
      </c>
      <c r="O46" s="26">
        <f>CUSTOS!$F$33</f>
        <v>0</v>
      </c>
      <c r="P46" s="26">
        <f>CUSTOS!$F$34</f>
        <v>0</v>
      </c>
      <c r="Q46" s="26">
        <f>CUSTOS!$F$35</f>
        <v>0</v>
      </c>
      <c r="R46" s="26">
        <f>CUSTOS!$F$36</f>
        <v>0</v>
      </c>
      <c r="S46" s="26">
        <f>CUSTOS!$F$37</f>
        <v>0</v>
      </c>
      <c r="T46" s="26">
        <f>CUSTOS!$F$38</f>
        <v>0</v>
      </c>
      <c r="U46" s="26">
        <f>CUSTOS!$F$39</f>
        <v>0</v>
      </c>
      <c r="V46" s="26">
        <f>CUSTOS!$F$40</f>
        <v>0</v>
      </c>
      <c r="W46" s="26">
        <f>CUSTOS!$F$41</f>
        <v>0</v>
      </c>
      <c r="X46" s="26">
        <f>CUSTOS!$F$42</f>
        <v>0</v>
      </c>
      <c r="Y46" s="26">
        <f>CUSTOS!$F$43</f>
        <v>0</v>
      </c>
      <c r="Z46" s="26">
        <f>CUSTOS!$F$44</f>
        <v>0</v>
      </c>
      <c r="AA46" s="26">
        <f>CUSTOS!$F$45</f>
        <v>0</v>
      </c>
      <c r="AB46" s="26">
        <f>CUSTOS!$F$46</f>
        <v>0</v>
      </c>
    </row>
    <row r="47" spans="1:28" ht="11.25" customHeight="1" x14ac:dyDescent="0.25">
      <c r="K47" s="31" t="s">
        <v>388</v>
      </c>
      <c r="L47" s="26">
        <f>'TR TE'!$L$47*L48</f>
        <v>0</v>
      </c>
      <c r="M47" s="26">
        <f>'TR TE'!$M$47*M48</f>
        <v>0</v>
      </c>
      <c r="N47" s="26">
        <f>'TR TE'!$N$47*N48</f>
        <v>0</v>
      </c>
      <c r="O47" s="26">
        <f>'TR TE'!$O$47*O48</f>
        <v>0</v>
      </c>
      <c r="P47" s="26">
        <f>'TR TE'!$P$47*P48</f>
        <v>0</v>
      </c>
      <c r="Q47" s="26"/>
      <c r="R47" s="26">
        <f>'TR TE'!$R$47*R48</f>
        <v>0</v>
      </c>
      <c r="S47" s="26"/>
      <c r="T47" s="26">
        <f>'TR TE'!$T$47*T48</f>
        <v>0</v>
      </c>
      <c r="U47" s="26">
        <f>'TR TE'!$U$47*U48</f>
        <v>0</v>
      </c>
      <c r="V47" s="26">
        <f>'TR TE'!$V$47*V48</f>
        <v>0</v>
      </c>
      <c r="W47" s="26"/>
      <c r="X47" s="26"/>
      <c r="Y47" s="26"/>
      <c r="Z47" s="26">
        <f>'TR TE'!$Z$47*Z48</f>
        <v>0</v>
      </c>
      <c r="AA47" s="26"/>
      <c r="AB47" s="26"/>
    </row>
    <row r="48" spans="1:28" ht="11.25" customHeight="1" x14ac:dyDescent="0.25">
      <c r="K48" s="31" t="s">
        <v>383</v>
      </c>
      <c r="L48" s="26">
        <f>IF(L44&lt;&gt;0,L46/L44,0)</f>
        <v>0</v>
      </c>
      <c r="M48" s="26">
        <f>IF(M44&lt;&gt;0,M46/M44,0)</f>
        <v>0</v>
      </c>
      <c r="N48" s="26">
        <f>IF(N44&lt;&gt;0,N46/N44,0)</f>
        <v>0</v>
      </c>
      <c r="O48" s="26">
        <f>IF(O44&lt;&gt;0,O46/O44,0)</f>
        <v>0</v>
      </c>
      <c r="P48" s="26">
        <f>IF(P44&lt;&gt;0,P46/P44,0)</f>
        <v>0</v>
      </c>
      <c r="Q48" s="26"/>
      <c r="R48" s="26">
        <f>IF(R44&lt;&gt;0,R46/R44,0)</f>
        <v>0</v>
      </c>
      <c r="S48" s="26"/>
      <c r="T48" s="26">
        <f>IF(T44&lt;&gt;0,T46/T44,0)</f>
        <v>0</v>
      </c>
      <c r="U48" s="26">
        <f>IF(U44&lt;&gt;0,U46/U44,0)</f>
        <v>0</v>
      </c>
      <c r="V48" s="26">
        <f>IF(V44&lt;&gt;0,V46/V44,0)</f>
        <v>0</v>
      </c>
      <c r="W48" s="26"/>
      <c r="X48" s="26">
        <f>IF($AB44&lt;&gt;0,X46/($AB44-SUM('TR TE'!$L47:'TR TE'!$AA47)*0),0)</f>
        <v>0</v>
      </c>
      <c r="Y48" s="26"/>
      <c r="Z48" s="26">
        <f>IF(Z44&lt;&gt;0,Z46/Z44,0)</f>
        <v>0</v>
      </c>
      <c r="AA48" s="26"/>
      <c r="AB48" s="26"/>
    </row>
    <row r="49" spans="11:28" ht="11.25" customHeight="1" x14ac:dyDescent="0.25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</sheetData>
  <mergeCells count="61">
    <mergeCell ref="T3:W3"/>
    <mergeCell ref="X3:Y3"/>
    <mergeCell ref="A1:A4"/>
    <mergeCell ref="B1:B4"/>
    <mergeCell ref="C1:C4"/>
    <mergeCell ref="D1:D4"/>
    <mergeCell ref="E1:E4"/>
    <mergeCell ref="F1:F4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F7:F9"/>
    <mergeCell ref="B10:B14"/>
    <mergeCell ref="C10:C14"/>
    <mergeCell ref="B15:B19"/>
    <mergeCell ref="C15:C19"/>
    <mergeCell ref="A7:A19"/>
    <mergeCell ref="B7:B9"/>
    <mergeCell ref="C7:C9"/>
    <mergeCell ref="D7:D9"/>
    <mergeCell ref="E7:E9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E35:E37"/>
    <mergeCell ref="F35:F37"/>
    <mergeCell ref="A40:A41"/>
    <mergeCell ref="B40:B41"/>
    <mergeCell ref="C40:C41"/>
    <mergeCell ref="D35:D37"/>
  </mergeCells>
  <conditionalFormatting sqref="L43">
    <cfRule type="cellIs" dxfId="520" priority="33" operator="notEqual">
      <formula>$L$45</formula>
    </cfRule>
    <cfRule type="cellIs" dxfId="519" priority="34" operator="equal">
      <formula>$L$45</formula>
    </cfRule>
  </conditionalFormatting>
  <conditionalFormatting sqref="M43">
    <cfRule type="cellIs" dxfId="518" priority="31" operator="notEqual">
      <formula>$M$45</formula>
    </cfRule>
    <cfRule type="cellIs" dxfId="517" priority="32" operator="equal">
      <formula>$M$45</formula>
    </cfRule>
  </conditionalFormatting>
  <conditionalFormatting sqref="N43">
    <cfRule type="cellIs" dxfId="516" priority="29" operator="notEqual">
      <formula>$N$45</formula>
    </cfRule>
    <cfRule type="cellIs" dxfId="515" priority="30" operator="equal">
      <formula>$N$45</formula>
    </cfRule>
  </conditionalFormatting>
  <conditionalFormatting sqref="O43">
    <cfRule type="cellIs" dxfId="514" priority="27" operator="notEqual">
      <formula>$O$45</formula>
    </cfRule>
    <cfRule type="cellIs" dxfId="513" priority="28" operator="equal">
      <formula>$O$45</formula>
    </cfRule>
  </conditionalFormatting>
  <conditionalFormatting sqref="P43">
    <cfRule type="cellIs" dxfId="512" priority="25" operator="notEqual">
      <formula>$P$45</formula>
    </cfRule>
    <cfRule type="cellIs" dxfId="511" priority="26" operator="equal">
      <formula>$P$45</formula>
    </cfRule>
  </conditionalFormatting>
  <conditionalFormatting sqref="Q43">
    <cfRule type="cellIs" dxfId="510" priority="23" operator="notEqual">
      <formula>$Q$45</formula>
    </cfRule>
    <cfRule type="cellIs" dxfId="509" priority="24" operator="equal">
      <formula>$Q$45</formula>
    </cfRule>
  </conditionalFormatting>
  <conditionalFormatting sqref="R43">
    <cfRule type="cellIs" dxfId="508" priority="21" operator="notEqual">
      <formula>$R$45</formula>
    </cfRule>
    <cfRule type="cellIs" dxfId="507" priority="22" operator="equal">
      <formula>$R$45</formula>
    </cfRule>
  </conditionalFormatting>
  <conditionalFormatting sqref="S43">
    <cfRule type="cellIs" dxfId="506" priority="19" operator="notEqual">
      <formula>$S$45</formula>
    </cfRule>
    <cfRule type="cellIs" dxfId="505" priority="20" operator="equal">
      <formula>$S$45</formula>
    </cfRule>
  </conditionalFormatting>
  <conditionalFormatting sqref="T43">
    <cfRule type="cellIs" dxfId="504" priority="17" operator="notEqual">
      <formula>$T$45</formula>
    </cfRule>
    <cfRule type="cellIs" dxfId="503" priority="18" operator="equal">
      <formula>$T$45</formula>
    </cfRule>
  </conditionalFormatting>
  <conditionalFormatting sqref="U43">
    <cfRule type="cellIs" dxfId="502" priority="15" operator="notEqual">
      <formula>$U$45</formula>
    </cfRule>
    <cfRule type="cellIs" dxfId="501" priority="16" operator="equal">
      <formula>$U$45</formula>
    </cfRule>
  </conditionalFormatting>
  <conditionalFormatting sqref="V43">
    <cfRule type="cellIs" dxfId="500" priority="13" operator="notEqual">
      <formula>$V$45</formula>
    </cfRule>
    <cfRule type="cellIs" dxfId="499" priority="14" operator="equal">
      <formula>$V$45</formula>
    </cfRule>
  </conditionalFormatting>
  <conditionalFormatting sqref="W43">
    <cfRule type="cellIs" dxfId="498" priority="11" operator="notEqual">
      <formula>$W$45</formula>
    </cfRule>
    <cfRule type="cellIs" dxfId="497" priority="12" operator="equal">
      <formula>$W$45</formula>
    </cfRule>
  </conditionalFormatting>
  <conditionalFormatting sqref="X43">
    <cfRule type="cellIs" dxfId="496" priority="9" operator="notEqual">
      <formula>$X$45</formula>
    </cfRule>
    <cfRule type="cellIs" dxfId="495" priority="10" operator="equal">
      <formula>$X$45</formula>
    </cfRule>
  </conditionalFormatting>
  <conditionalFormatting sqref="Y43">
    <cfRule type="cellIs" dxfId="494" priority="7" operator="notEqual">
      <formula>$Y$45</formula>
    </cfRule>
    <cfRule type="cellIs" dxfId="493" priority="8" operator="equal">
      <formula>$Y$45</formula>
    </cfRule>
  </conditionalFormatting>
  <conditionalFormatting sqref="Z43">
    <cfRule type="cellIs" dxfId="492" priority="5" operator="notEqual">
      <formula>$Z$45</formula>
    </cfRule>
    <cfRule type="cellIs" dxfId="491" priority="6" operator="equal">
      <formula>$Z$45</formula>
    </cfRule>
  </conditionalFormatting>
  <conditionalFormatting sqref="AA43">
    <cfRule type="cellIs" dxfId="490" priority="3" operator="notEqual">
      <formula>$AA$45</formula>
    </cfRule>
    <cfRule type="cellIs" dxfId="489" priority="4" operator="equal">
      <formula>$AA$45</formula>
    </cfRule>
  </conditionalFormatting>
  <conditionalFormatting sqref="AB43">
    <cfRule type="cellIs" dxfId="488" priority="1" operator="notEqual">
      <formula>$AB$45</formula>
    </cfRule>
    <cfRule type="cellIs" dxfId="487" priority="2" operator="equal">
      <formula>$AB$45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AC02-E2FA-4E4C-BD99-D67F519D3E6A}">
  <sheetPr codeName="Planilha15"/>
  <dimension ref="A1:AB49"/>
  <sheetViews>
    <sheetView showGridLines="0" topLeftCell="L25" workbookViewId="0">
      <selection activeCell="AB43" sqref="AB43"/>
    </sheetView>
  </sheetViews>
  <sheetFormatPr defaultColWidth="9.140625"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14.28515625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113" t="s">
        <v>49</v>
      </c>
      <c r="B1" s="113" t="s">
        <v>50</v>
      </c>
      <c r="C1" s="113" t="s">
        <v>51</v>
      </c>
      <c r="D1" s="113" t="s">
        <v>52</v>
      </c>
      <c r="E1" s="113" t="s">
        <v>53</v>
      </c>
      <c r="F1" s="113" t="s">
        <v>15</v>
      </c>
      <c r="G1" s="113" t="s">
        <v>55</v>
      </c>
      <c r="H1" s="113" t="s">
        <v>56</v>
      </c>
      <c r="I1" s="113" t="s">
        <v>365</v>
      </c>
      <c r="J1" s="96"/>
      <c r="L1" s="111" t="s">
        <v>393</v>
      </c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</row>
    <row r="2" spans="1:28" ht="11.2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96"/>
      <c r="L2" s="111" t="s">
        <v>291</v>
      </c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1:28" ht="11.2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96"/>
      <c r="L3" s="111" t="s">
        <v>264</v>
      </c>
      <c r="M3" s="111"/>
      <c r="N3" s="111"/>
      <c r="O3" s="111"/>
      <c r="P3" s="111"/>
      <c r="Q3" s="111"/>
      <c r="R3" s="111" t="s">
        <v>295</v>
      </c>
      <c r="S3" s="111"/>
      <c r="T3" s="111" t="s">
        <v>273</v>
      </c>
      <c r="U3" s="111"/>
      <c r="V3" s="111"/>
      <c r="W3" s="111"/>
      <c r="X3" s="111" t="s">
        <v>283</v>
      </c>
      <c r="Y3" s="111"/>
      <c r="Z3" s="111" t="s">
        <v>286</v>
      </c>
      <c r="AA3" s="111"/>
      <c r="AB3" s="111" t="s">
        <v>272</v>
      </c>
    </row>
    <row r="4" spans="1:28" ht="11.2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96"/>
      <c r="L4" s="30" t="s">
        <v>266</v>
      </c>
      <c r="M4" s="30" t="s">
        <v>292</v>
      </c>
      <c r="N4" s="30" t="s">
        <v>293</v>
      </c>
      <c r="O4" s="30" t="s">
        <v>353</v>
      </c>
      <c r="P4" s="30" t="s">
        <v>294</v>
      </c>
      <c r="Q4" s="30" t="s">
        <v>272</v>
      </c>
      <c r="R4" s="30" t="s">
        <v>296</v>
      </c>
      <c r="S4" s="30" t="s">
        <v>272</v>
      </c>
      <c r="T4" s="30" t="s">
        <v>297</v>
      </c>
      <c r="U4" s="30" t="s">
        <v>298</v>
      </c>
      <c r="V4" s="30" t="s">
        <v>299</v>
      </c>
      <c r="W4" s="30" t="s">
        <v>272</v>
      </c>
      <c r="X4" s="30" t="s">
        <v>284</v>
      </c>
      <c r="Y4" s="30" t="s">
        <v>272</v>
      </c>
      <c r="Z4" s="30" t="s">
        <v>300</v>
      </c>
      <c r="AA4" s="30" t="s">
        <v>272</v>
      </c>
      <c r="AB4" s="112"/>
    </row>
    <row r="5" spans="1:28" ht="11.25" customHeight="1" x14ac:dyDescent="0.25">
      <c r="A5" s="114" t="s">
        <v>58</v>
      </c>
      <c r="B5" s="114" t="s">
        <v>59</v>
      </c>
      <c r="C5" s="114" t="s">
        <v>25</v>
      </c>
      <c r="D5" s="114" t="s">
        <v>25</v>
      </c>
      <c r="E5" s="114" t="s">
        <v>25</v>
      </c>
      <c r="F5" s="114" t="s">
        <v>25</v>
      </c>
      <c r="G5" s="29" t="s">
        <v>61</v>
      </c>
      <c r="H5" s="29" t="s">
        <v>60</v>
      </c>
      <c r="I5" s="29">
        <f>'MERCADO TE'!$U$2</f>
        <v>0</v>
      </c>
      <c r="J5" s="15"/>
      <c r="L5" s="26">
        <f>'TE BE'!$L$5*'TE BF'!$L$48</f>
        <v>0</v>
      </c>
      <c r="M5" s="26">
        <f>'TE BE'!$M$5*'TE BF'!$M$48</f>
        <v>0</v>
      </c>
      <c r="N5" s="26">
        <f>'TE BE'!$N$5*'TE BF'!$N$48</f>
        <v>0</v>
      </c>
      <c r="O5" s="26">
        <f>'TE BE'!$O$5*'TE BF'!$O$48</f>
        <v>0</v>
      </c>
      <c r="P5" s="26">
        <f>'TE BE'!$P$5*'TE BF'!$P$48</f>
        <v>0</v>
      </c>
      <c r="Q5" s="26">
        <f>SUM($L$5:$P$5)</f>
        <v>0</v>
      </c>
      <c r="R5" s="26">
        <f>'TE BE'!$R$5*'TE BF'!$R$48</f>
        <v>0</v>
      </c>
      <c r="S5" s="26">
        <f>SUM($R$5:$R$5)</f>
        <v>0</v>
      </c>
      <c r="T5" s="26">
        <f>'TE BE'!$T$5*'TE BF'!$T$48</f>
        <v>0</v>
      </c>
      <c r="U5" s="26">
        <f>'TE BE'!$U$5*'TE BF'!$U$48</f>
        <v>0</v>
      </c>
      <c r="V5" s="26">
        <f>'TE BE'!$V$5*'TE BF'!$V$48</f>
        <v>0</v>
      </c>
      <c r="W5" s="26">
        <f>SUM($T$5:$V$5)</f>
        <v>0</v>
      </c>
      <c r="X5" s="26">
        <f>'TE BE'!$AB$5*'TE BF'!$X$48</f>
        <v>0</v>
      </c>
      <c r="Y5" s="26">
        <f>SUM($X$5:$X$5)</f>
        <v>0</v>
      </c>
      <c r="Z5" s="26">
        <f>'TE BE'!$Z$5*'TE BF'!$Z$48</f>
        <v>0</v>
      </c>
      <c r="AA5" s="26">
        <f>SUM($Z$5:$Z$5)</f>
        <v>0</v>
      </c>
      <c r="AB5" s="26">
        <f>SUMIF($L$4:$AA$4,"SUBTOTAL",$L$5:$AA$5)</f>
        <v>0</v>
      </c>
    </row>
    <row r="6" spans="1:28" ht="11.25" customHeight="1" x14ac:dyDescent="0.25">
      <c r="A6" s="114"/>
      <c r="B6" s="114"/>
      <c r="C6" s="114"/>
      <c r="D6" s="114"/>
      <c r="E6" s="114"/>
      <c r="F6" s="114"/>
      <c r="G6" s="29" t="s">
        <v>62</v>
      </c>
      <c r="H6" s="29" t="s">
        <v>60</v>
      </c>
      <c r="I6" s="29">
        <f>'MERCADO TE'!$U$3</f>
        <v>0</v>
      </c>
      <c r="J6" s="15"/>
      <c r="L6" s="26">
        <f>'TE BE'!$L$6*'TE BF'!$L$48</f>
        <v>0</v>
      </c>
      <c r="M6" s="26">
        <f>'TE BE'!$M$6*'TE BF'!$M$48</f>
        <v>0</v>
      </c>
      <c r="N6" s="26">
        <f>'TE BE'!$N$6*'TE BF'!$N$48</f>
        <v>0</v>
      </c>
      <c r="O6" s="26">
        <f>'TE BE'!$O$6*'TE BF'!$O$48</f>
        <v>0</v>
      </c>
      <c r="P6" s="26">
        <f>'TE BE'!$P$6*'TE BF'!$P$48</f>
        <v>0</v>
      </c>
      <c r="Q6" s="26">
        <f>SUM($L$6:$P$6)</f>
        <v>0</v>
      </c>
      <c r="R6" s="26">
        <f>'TE BE'!$R$6*'TE BF'!$R$48</f>
        <v>0</v>
      </c>
      <c r="S6" s="26">
        <f>SUM($R$6:$R$6)</f>
        <v>0</v>
      </c>
      <c r="T6" s="26">
        <f>'TE BE'!$T$6*'TE BF'!$T$48</f>
        <v>0</v>
      </c>
      <c r="U6" s="26">
        <f>'TE BE'!$U$6*'TE BF'!$U$48</f>
        <v>0</v>
      </c>
      <c r="V6" s="26">
        <f>'TE BE'!$V$6*'TE BF'!$V$48</f>
        <v>0</v>
      </c>
      <c r="W6" s="26">
        <f>SUM($T$6:$V$6)</f>
        <v>0</v>
      </c>
      <c r="X6" s="26">
        <f>'TE BE'!$AB$6*'TE BF'!$X$48</f>
        <v>0</v>
      </c>
      <c r="Y6" s="26">
        <f>SUM($X$6:$X$6)</f>
        <v>0</v>
      </c>
      <c r="Z6" s="26">
        <f>'TE BE'!$Z$6*'TE BF'!$Z$48</f>
        <v>0</v>
      </c>
      <c r="AA6" s="26">
        <f>SUM($Z$6:$Z$6)</f>
        <v>0</v>
      </c>
      <c r="AB6" s="26">
        <f>SUMIF($L$4:$AA$4,"SUBTOTAL",$L$6:$AA$6)</f>
        <v>0</v>
      </c>
    </row>
    <row r="7" spans="1:28" ht="11.25" customHeight="1" x14ac:dyDescent="0.25">
      <c r="A7" s="114" t="s">
        <v>22</v>
      </c>
      <c r="B7" s="114" t="s">
        <v>59</v>
      </c>
      <c r="C7" s="114" t="s">
        <v>24</v>
      </c>
      <c r="D7" s="114" t="s">
        <v>24</v>
      </c>
      <c r="E7" s="114" t="s">
        <v>25</v>
      </c>
      <c r="F7" s="114" t="s">
        <v>25</v>
      </c>
      <c r="G7" s="29" t="s">
        <v>61</v>
      </c>
      <c r="H7" s="29" t="s">
        <v>60</v>
      </c>
      <c r="I7" s="29">
        <f>'MERCADO TE'!$U$4</f>
        <v>0</v>
      </c>
      <c r="J7" s="15"/>
      <c r="L7" s="26">
        <f>'TE BE'!$L$7*'TE BF'!$L$48</f>
        <v>0</v>
      </c>
      <c r="M7" s="26">
        <f>'TE BE'!$M$7*'TE BF'!$M$48</f>
        <v>0</v>
      </c>
      <c r="N7" s="26">
        <f>'TE BE'!$N$7*'TE BF'!$N$48</f>
        <v>0</v>
      </c>
      <c r="O7" s="26">
        <f>'TE BE'!$O$7*'TE BF'!$O$48</f>
        <v>0</v>
      </c>
      <c r="P7" s="26">
        <f>'TE BE'!$P$7*'TE BF'!$P$48</f>
        <v>0</v>
      </c>
      <c r="Q7" s="26">
        <f>SUM($L$7:$P$7)</f>
        <v>0</v>
      </c>
      <c r="R7" s="26">
        <f>'TE BE'!$R$7*'TE BF'!$R$48</f>
        <v>0</v>
      </c>
      <c r="S7" s="26">
        <f>SUM($R$7:$R$7)</f>
        <v>0</v>
      </c>
      <c r="T7" s="26">
        <f>'TE BE'!$T$7*'TE BF'!$T$48</f>
        <v>0</v>
      </c>
      <c r="U7" s="26">
        <f>'TE BE'!$U$7*'TE BF'!$U$48</f>
        <v>0</v>
      </c>
      <c r="V7" s="26">
        <f>'TE BE'!$V$7*'TE BF'!$V$48</f>
        <v>0</v>
      </c>
      <c r="W7" s="26">
        <f>SUM($T$7:$V$7)</f>
        <v>0</v>
      </c>
      <c r="X7" s="26">
        <f>'TE BE'!$AB$7*'TE BF'!$X$48</f>
        <v>0</v>
      </c>
      <c r="Y7" s="26">
        <f>SUM($X$7:$X$7)</f>
        <v>0</v>
      </c>
      <c r="Z7" s="26">
        <f>'TE BE'!$Z$7*'TE BF'!$Z$48</f>
        <v>0</v>
      </c>
      <c r="AA7" s="26">
        <f>SUM($Z$7:$Z$7)</f>
        <v>0</v>
      </c>
      <c r="AB7" s="26">
        <f>SUMIF($L$4:$AA$4,"SUBTOTAL",$L$7:$AA$7)</f>
        <v>0</v>
      </c>
    </row>
    <row r="8" spans="1:28" ht="11.25" customHeight="1" x14ac:dyDescent="0.25">
      <c r="A8" s="114"/>
      <c r="B8" s="114"/>
      <c r="C8" s="114"/>
      <c r="D8" s="114"/>
      <c r="E8" s="114"/>
      <c r="F8" s="114"/>
      <c r="G8" s="29" t="s">
        <v>74</v>
      </c>
      <c r="H8" s="29" t="s">
        <v>60</v>
      </c>
      <c r="I8" s="29">
        <f>'MERCADO TE'!$U$5</f>
        <v>0</v>
      </c>
      <c r="J8" s="15"/>
      <c r="L8" s="26">
        <f>'TE BE'!$L$8*'TE BF'!$L$48</f>
        <v>0</v>
      </c>
      <c r="M8" s="26">
        <f>'TE BE'!$M$8*'TE BF'!$M$48</f>
        <v>0</v>
      </c>
      <c r="N8" s="26">
        <f>'TE BE'!$N$8*'TE BF'!$N$48</f>
        <v>0</v>
      </c>
      <c r="O8" s="26">
        <f>'TE BE'!$O$8*'TE BF'!$O$48</f>
        <v>0</v>
      </c>
      <c r="P8" s="26">
        <f>'TE BE'!$P$8*'TE BF'!$P$48</f>
        <v>0</v>
      </c>
      <c r="Q8" s="26">
        <f>SUM($L$8:$P$8)</f>
        <v>0</v>
      </c>
      <c r="R8" s="26">
        <f>'TE BE'!$R$8*'TE BF'!$R$48</f>
        <v>0</v>
      </c>
      <c r="S8" s="26">
        <f>SUM($R$8:$R$8)</f>
        <v>0</v>
      </c>
      <c r="T8" s="26">
        <f>'TE BE'!$T$8*'TE BF'!$T$48</f>
        <v>0</v>
      </c>
      <c r="U8" s="26">
        <f>'TE BE'!$U$8*'TE BF'!$U$48</f>
        <v>0</v>
      </c>
      <c r="V8" s="26">
        <f>'TE BE'!$V$8*'TE BF'!$V$48</f>
        <v>0</v>
      </c>
      <c r="W8" s="26">
        <f>SUM($T$8:$V$8)</f>
        <v>0</v>
      </c>
      <c r="X8" s="26">
        <f>'TE BE'!$AB$8*'TE BF'!$X$48</f>
        <v>0</v>
      </c>
      <c r="Y8" s="26">
        <f>SUM($X$8:$X$8)</f>
        <v>0</v>
      </c>
      <c r="Z8" s="26">
        <f>'TE BE'!$Z$8*'TE BF'!$Z$48</f>
        <v>0</v>
      </c>
      <c r="AA8" s="26">
        <f>SUM($Z$8:$Z$8)</f>
        <v>0</v>
      </c>
      <c r="AB8" s="26">
        <f>SUMIF($L$4:$AA$4,"SUBTOTAL",$L$8:$AA$8)</f>
        <v>0</v>
      </c>
    </row>
    <row r="9" spans="1:28" ht="11.25" customHeight="1" x14ac:dyDescent="0.25">
      <c r="A9" s="114"/>
      <c r="B9" s="114"/>
      <c r="C9" s="114"/>
      <c r="D9" s="114"/>
      <c r="E9" s="114"/>
      <c r="F9" s="114"/>
      <c r="G9" s="29" t="s">
        <v>62</v>
      </c>
      <c r="H9" s="29" t="s">
        <v>60</v>
      </c>
      <c r="I9" s="29">
        <f>'MERCADO TE'!$U$6</f>
        <v>0</v>
      </c>
      <c r="J9" s="15"/>
      <c r="L9" s="26">
        <f>'TE BE'!$L$9*'TE BF'!$L$48</f>
        <v>0</v>
      </c>
      <c r="M9" s="26">
        <f>'TE BE'!$M$9*'TE BF'!$M$48</f>
        <v>0</v>
      </c>
      <c r="N9" s="26">
        <f>'TE BE'!$N$9*'TE BF'!$N$48</f>
        <v>0</v>
      </c>
      <c r="O9" s="26">
        <f>'TE BE'!$O$9*'TE BF'!$O$48</f>
        <v>0</v>
      </c>
      <c r="P9" s="26">
        <f>'TE BE'!$P$9*'TE BF'!$P$48</f>
        <v>0</v>
      </c>
      <c r="Q9" s="26">
        <f>SUM($L$9:$P$9)</f>
        <v>0</v>
      </c>
      <c r="R9" s="26">
        <f>'TE BE'!$R$9*'TE BF'!$R$48</f>
        <v>0</v>
      </c>
      <c r="S9" s="26">
        <f>SUM($R$9:$R$9)</f>
        <v>0</v>
      </c>
      <c r="T9" s="26">
        <f>'TE BE'!$T$9*'TE BF'!$T$48</f>
        <v>0</v>
      </c>
      <c r="U9" s="26">
        <f>'TE BE'!$U$9*'TE BF'!$U$48</f>
        <v>0</v>
      </c>
      <c r="V9" s="26">
        <f>'TE BE'!$V$9*'TE BF'!$V$48</f>
        <v>0</v>
      </c>
      <c r="W9" s="26">
        <f>SUM($T$9:$V$9)</f>
        <v>0</v>
      </c>
      <c r="X9" s="26">
        <f>'TE BE'!$AB$9*'TE BF'!$X$48</f>
        <v>0</v>
      </c>
      <c r="Y9" s="26">
        <f>SUM($X$9:$X$9)</f>
        <v>0</v>
      </c>
      <c r="Z9" s="26">
        <f>'TE BE'!$Z$9*'TE BF'!$Z$48</f>
        <v>0</v>
      </c>
      <c r="AA9" s="26">
        <f>SUM($Z$9:$Z$9)</f>
        <v>0</v>
      </c>
      <c r="AB9" s="26">
        <f>SUMIF($L$4:$AA$4,"SUBTOTAL",$L$9:$AA$9)</f>
        <v>0</v>
      </c>
    </row>
    <row r="10" spans="1:28" ht="11.25" customHeight="1" x14ac:dyDescent="0.25">
      <c r="A10" s="114"/>
      <c r="B10" s="114" t="s">
        <v>75</v>
      </c>
      <c r="C10" s="114" t="s">
        <v>24</v>
      </c>
      <c r="D10" s="28" t="s">
        <v>24</v>
      </c>
      <c r="E10" s="28" t="s">
        <v>25</v>
      </c>
      <c r="F10" s="28" t="s">
        <v>25</v>
      </c>
      <c r="G10" s="29" t="s">
        <v>67</v>
      </c>
      <c r="H10" s="29" t="s">
        <v>60</v>
      </c>
      <c r="I10" s="29">
        <f>'MERCADO TE'!$U$7</f>
        <v>3454.3520000000003</v>
      </c>
      <c r="J10" s="15"/>
      <c r="L10" s="26">
        <f>'TE BE'!$L$10*'TE BF'!$L$48</f>
        <v>0</v>
      </c>
      <c r="M10" s="26">
        <f>'TE BE'!$M$10*'TE BF'!$M$48</f>
        <v>0</v>
      </c>
      <c r="N10" s="26">
        <f>'TE BE'!$N$10*'TE BF'!$N$48</f>
        <v>0</v>
      </c>
      <c r="O10" s="26">
        <f>'TE BE'!$O$10*'TE BF'!$O$48</f>
        <v>0</v>
      </c>
      <c r="P10" s="26">
        <f>'TE BE'!$P$10*'TE BF'!$P$48</f>
        <v>0</v>
      </c>
      <c r="Q10" s="26">
        <f>SUM($L$10:$P$10)</f>
        <v>0</v>
      </c>
      <c r="R10" s="26">
        <f>'TE BE'!$R$10*'TE BF'!$R$48</f>
        <v>0</v>
      </c>
      <c r="S10" s="26">
        <f>SUM($R$10:$R$10)</f>
        <v>0</v>
      </c>
      <c r="T10" s="26">
        <f>'TE BE'!$T$10*'TE BF'!$T$48</f>
        <v>0</v>
      </c>
      <c r="U10" s="26">
        <f>'TE BE'!$U$10*'TE BF'!$U$48</f>
        <v>0</v>
      </c>
      <c r="V10" s="26">
        <f>'TE BE'!$V$10*'TE BF'!$V$48</f>
        <v>0</v>
      </c>
      <c r="W10" s="26">
        <f>SUM($T$10:$V$10)</f>
        <v>0</v>
      </c>
      <c r="X10" s="26">
        <f>'TE BE'!$AB$10*'TE BF'!$X$48</f>
        <v>0</v>
      </c>
      <c r="Y10" s="26">
        <f>SUM($X$10:$X$10)</f>
        <v>0</v>
      </c>
      <c r="Z10" s="26">
        <f>'TE BE'!$Z$10*'TE BF'!$Z$48</f>
        <v>0</v>
      </c>
      <c r="AA10" s="26">
        <f>SUM($Z$10:$Z$10)</f>
        <v>0</v>
      </c>
      <c r="AB10" s="26">
        <f>SUMIF($L$4:$AA$4,"SUBTOTAL",$L$10:$AA$10)</f>
        <v>0</v>
      </c>
    </row>
    <row r="11" spans="1:28" ht="11.25" customHeight="1" x14ac:dyDescent="0.25">
      <c r="A11" s="114"/>
      <c r="B11" s="114"/>
      <c r="C11" s="114"/>
      <c r="D11" s="28" t="s">
        <v>41</v>
      </c>
      <c r="E11" s="28" t="s">
        <v>25</v>
      </c>
      <c r="F11" s="28" t="s">
        <v>25</v>
      </c>
      <c r="G11" s="29" t="s">
        <v>67</v>
      </c>
      <c r="H11" s="29" t="s">
        <v>60</v>
      </c>
      <c r="I11" s="29">
        <f>'MERCADO TE'!$U$8</f>
        <v>0.48000000000000009</v>
      </c>
      <c r="J11" s="15"/>
      <c r="L11" s="26">
        <f>'TE BE'!$L$11*'TE BF'!$L$48</f>
        <v>0</v>
      </c>
      <c r="M11" s="26">
        <f>'TE BE'!$M$11*'TE BF'!$M$48</f>
        <v>0</v>
      </c>
      <c r="N11" s="26">
        <f>'TE BE'!$N$11*'TE BF'!$N$48</f>
        <v>0</v>
      </c>
      <c r="O11" s="26">
        <f>'TE BE'!$O$11*'TE BF'!$O$48</f>
        <v>0</v>
      </c>
      <c r="P11" s="26">
        <f>'TE BE'!$P$11*'TE BF'!$P$48</f>
        <v>0</v>
      </c>
      <c r="Q11" s="26">
        <f>SUM($L$11:$P$11)</f>
        <v>0</v>
      </c>
      <c r="R11" s="26">
        <f>'TE BE'!$R$11*'TE BF'!$R$48</f>
        <v>0</v>
      </c>
      <c r="S11" s="26">
        <f>SUM($R$11:$R$11)</f>
        <v>0</v>
      </c>
      <c r="T11" s="26">
        <f>'TE BE'!$T$11*'TE BF'!$T$48</f>
        <v>0</v>
      </c>
      <c r="U11" s="26">
        <f>'TE BE'!$U$11*'TE BF'!$U$48</f>
        <v>0</v>
      </c>
      <c r="V11" s="26">
        <f>'TE BE'!$V$11*'TE BF'!$V$48</f>
        <v>0</v>
      </c>
      <c r="W11" s="26">
        <f>SUM($T$11:$V$11)</f>
        <v>0</v>
      </c>
      <c r="X11" s="26">
        <f>'TE BE'!$AB$11*'TE BF'!$X$48</f>
        <v>0</v>
      </c>
      <c r="Y11" s="26">
        <f>SUM($X$11:$X$11)</f>
        <v>0</v>
      </c>
      <c r="Z11" s="26">
        <f>'TE BE'!$Z$11*'TE BF'!$Z$48</f>
        <v>0</v>
      </c>
      <c r="AA11" s="26">
        <f>SUM($Z$11:$Z$11)</f>
        <v>0</v>
      </c>
      <c r="AB11" s="26">
        <f>SUMIF($L$4:$AA$4,"SUBTOTAL",$L$11:$AA$11)</f>
        <v>0</v>
      </c>
    </row>
    <row r="12" spans="1:28" ht="11.25" customHeight="1" x14ac:dyDescent="0.25">
      <c r="A12" s="114"/>
      <c r="B12" s="114"/>
      <c r="C12" s="114"/>
      <c r="D12" s="28" t="s">
        <v>42</v>
      </c>
      <c r="E12" s="28" t="s">
        <v>25</v>
      </c>
      <c r="F12" s="28" t="s">
        <v>25</v>
      </c>
      <c r="G12" s="29" t="s">
        <v>67</v>
      </c>
      <c r="H12" s="29" t="s">
        <v>60</v>
      </c>
      <c r="I12" s="29">
        <f>'MERCADO TE'!$U$9</f>
        <v>7.3130000000000006</v>
      </c>
      <c r="J12" s="15"/>
      <c r="L12" s="26">
        <f>'TE BE'!$L$12*'TE BF'!$L$48</f>
        <v>0</v>
      </c>
      <c r="M12" s="26">
        <f>'TE BE'!$M$12*'TE BF'!$M$48</f>
        <v>0</v>
      </c>
      <c r="N12" s="26">
        <f>'TE BE'!$N$12*'TE BF'!$N$48</f>
        <v>0</v>
      </c>
      <c r="O12" s="26">
        <f>'TE BE'!$O$12*'TE BF'!$O$48</f>
        <v>0</v>
      </c>
      <c r="P12" s="26">
        <f>'TE BE'!$P$12*'TE BF'!$P$48</f>
        <v>0</v>
      </c>
      <c r="Q12" s="26">
        <f>SUM($L$12:$P$12)</f>
        <v>0</v>
      </c>
      <c r="R12" s="26">
        <f>'TE BE'!$R$12*'TE BF'!$R$48</f>
        <v>0</v>
      </c>
      <c r="S12" s="26">
        <f>SUM($R$12:$R$12)</f>
        <v>0</v>
      </c>
      <c r="T12" s="26">
        <f>'TE BE'!$T$12*'TE BF'!$T$48</f>
        <v>0</v>
      </c>
      <c r="U12" s="26">
        <f>'TE BE'!$U$12*'TE BF'!$U$48</f>
        <v>0</v>
      </c>
      <c r="V12" s="26">
        <f>'TE BE'!$V$12*'TE BF'!$V$48</f>
        <v>0</v>
      </c>
      <c r="W12" s="26">
        <f>SUM($T$12:$V$12)</f>
        <v>0</v>
      </c>
      <c r="X12" s="26">
        <f>'TE BE'!$AB$12*'TE BF'!$X$48</f>
        <v>0</v>
      </c>
      <c r="Y12" s="26">
        <f>SUM($X$12:$X$12)</f>
        <v>0</v>
      </c>
      <c r="Z12" s="26">
        <f>'TE BE'!$Z$12*'TE BF'!$Z$48</f>
        <v>0</v>
      </c>
      <c r="AA12" s="26">
        <f>SUM($Z$12:$Z$12)</f>
        <v>0</v>
      </c>
      <c r="AB12" s="26">
        <f>SUMIF($L$4:$AA$4,"SUBTOTAL",$L$12:$AA$12)</f>
        <v>0</v>
      </c>
    </row>
    <row r="13" spans="1:28" ht="11.25" customHeight="1" x14ac:dyDescent="0.25">
      <c r="A13" s="114"/>
      <c r="B13" s="114"/>
      <c r="C13" s="114"/>
      <c r="D13" s="28" t="s">
        <v>39</v>
      </c>
      <c r="E13" s="28" t="s">
        <v>25</v>
      </c>
      <c r="F13" s="28" t="s">
        <v>25</v>
      </c>
      <c r="G13" s="29" t="s">
        <v>67</v>
      </c>
      <c r="H13" s="29" t="s">
        <v>60</v>
      </c>
      <c r="I13" s="29">
        <f>'MERCADO TE'!$U$10</f>
        <v>77.287999999999997</v>
      </c>
      <c r="J13" s="15"/>
      <c r="L13" s="26">
        <f>'TE BE'!$L$13*'TE BF'!$L$48</f>
        <v>0</v>
      </c>
      <c r="M13" s="26">
        <f>'TE BE'!$M$13*'TE BF'!$M$48</f>
        <v>0</v>
      </c>
      <c r="N13" s="26">
        <f>'TE BE'!$N$13*'TE BF'!$N$48</f>
        <v>0</v>
      </c>
      <c r="O13" s="26">
        <f>'TE BE'!$O$13*'TE BF'!$O$48</f>
        <v>0</v>
      </c>
      <c r="P13" s="26">
        <f>'TE BE'!$P$13*'TE BF'!$P$48</f>
        <v>0</v>
      </c>
      <c r="Q13" s="26">
        <f>SUM($L$13:$P$13)</f>
        <v>0</v>
      </c>
      <c r="R13" s="26">
        <f>'TE BE'!$R$13*'TE BF'!$R$48</f>
        <v>0</v>
      </c>
      <c r="S13" s="26">
        <f>SUM($R$13:$R$13)</f>
        <v>0</v>
      </c>
      <c r="T13" s="26">
        <f>'TE BE'!$T$13*'TE BF'!$T$48</f>
        <v>0</v>
      </c>
      <c r="U13" s="26">
        <f>'TE BE'!$U$13*'TE BF'!$U$48</f>
        <v>0</v>
      </c>
      <c r="V13" s="26">
        <f>'TE BE'!$V$13*'TE BF'!$V$48</f>
        <v>0</v>
      </c>
      <c r="W13" s="26">
        <f>SUM($T$13:$V$13)</f>
        <v>0</v>
      </c>
      <c r="X13" s="26">
        <f>'TE BE'!$AB$13*'TE BF'!$X$48</f>
        <v>0</v>
      </c>
      <c r="Y13" s="26">
        <f>SUM($X$13:$X$13)</f>
        <v>0</v>
      </c>
      <c r="Z13" s="26">
        <f>'TE BE'!$Z$13*'TE BF'!$Z$48</f>
        <v>0</v>
      </c>
      <c r="AA13" s="26">
        <f>SUM($Z$13:$Z$13)</f>
        <v>0</v>
      </c>
      <c r="AB13" s="26">
        <f>SUMIF($L$4:$AA$4,"SUBTOTAL",$L$13:$AA$13)</f>
        <v>0</v>
      </c>
    </row>
    <row r="14" spans="1:28" ht="11.25" customHeight="1" x14ac:dyDescent="0.25">
      <c r="A14" s="114"/>
      <c r="B14" s="114"/>
      <c r="C14" s="114"/>
      <c r="D14" s="28" t="s">
        <v>40</v>
      </c>
      <c r="E14" s="28" t="s">
        <v>25</v>
      </c>
      <c r="F14" s="28" t="s">
        <v>25</v>
      </c>
      <c r="G14" s="29" t="s">
        <v>67</v>
      </c>
      <c r="H14" s="29" t="s">
        <v>60</v>
      </c>
      <c r="I14" s="29">
        <f>'MERCADO TE'!$U$11</f>
        <v>81.510999999999996</v>
      </c>
      <c r="J14" s="15"/>
      <c r="L14" s="26">
        <f>'TE BE'!$L$14*'TE BF'!$L$48</f>
        <v>0</v>
      </c>
      <c r="M14" s="26">
        <f>'TE BE'!$M$14*'TE BF'!$M$48</f>
        <v>0</v>
      </c>
      <c r="N14" s="26">
        <f>'TE BE'!$N$14*'TE BF'!$N$48</f>
        <v>0</v>
      </c>
      <c r="O14" s="26">
        <f>'TE BE'!$O$14*'TE BF'!$O$48</f>
        <v>0</v>
      </c>
      <c r="P14" s="26">
        <f>'TE BE'!$P$14*'TE BF'!$P$48</f>
        <v>0</v>
      </c>
      <c r="Q14" s="26">
        <f>SUM($L$14:$P$14)</f>
        <v>0</v>
      </c>
      <c r="R14" s="26">
        <f>'TE BE'!$R$14*'TE BF'!$R$48</f>
        <v>0</v>
      </c>
      <c r="S14" s="26">
        <f>SUM($R$14:$R$14)</f>
        <v>0</v>
      </c>
      <c r="T14" s="26">
        <f>'TE BE'!$T$14*'TE BF'!$T$48</f>
        <v>0</v>
      </c>
      <c r="U14" s="26">
        <f>'TE BE'!$U$14*'TE BF'!$U$48</f>
        <v>0</v>
      </c>
      <c r="V14" s="26">
        <f>'TE BE'!$V$14*'TE BF'!$V$48</f>
        <v>0</v>
      </c>
      <c r="W14" s="26">
        <f>SUM($T$14:$V$14)</f>
        <v>0</v>
      </c>
      <c r="X14" s="26">
        <f>'TE BE'!$AB$14*'TE BF'!$X$48</f>
        <v>0</v>
      </c>
      <c r="Y14" s="26">
        <f>SUM($X$14:$X$14)</f>
        <v>0</v>
      </c>
      <c r="Z14" s="26">
        <f>'TE BE'!$Z$14*'TE BF'!$Z$48</f>
        <v>0</v>
      </c>
      <c r="AA14" s="26">
        <f>SUM($Z$14:$Z$14)</f>
        <v>0</v>
      </c>
      <c r="AB14" s="26">
        <f>SUMIF($L$4:$AA$4,"SUBTOTAL",$L$14:$AA$14)</f>
        <v>0</v>
      </c>
    </row>
    <row r="15" spans="1:28" ht="11.25" customHeight="1" x14ac:dyDescent="0.25">
      <c r="A15" s="114"/>
      <c r="B15" s="114" t="s">
        <v>77</v>
      </c>
      <c r="C15" s="114" t="s">
        <v>24</v>
      </c>
      <c r="D15" s="28" t="s">
        <v>24</v>
      </c>
      <c r="E15" s="28" t="s">
        <v>25</v>
      </c>
      <c r="F15" s="28" t="s">
        <v>25</v>
      </c>
      <c r="G15" s="29" t="s">
        <v>67</v>
      </c>
      <c r="H15" s="29" t="s">
        <v>60</v>
      </c>
      <c r="I15" s="29">
        <f>'MERCADO TE'!$U$12</f>
        <v>0</v>
      </c>
      <c r="J15" s="15"/>
      <c r="L15" s="26">
        <f>'TE BE'!$L$15*'TE BF'!$L$48</f>
        <v>0</v>
      </c>
      <c r="M15" s="26">
        <f>'TE BE'!$M$15*'TE BF'!$M$48</f>
        <v>0</v>
      </c>
      <c r="N15" s="26">
        <f>'TE BE'!$N$15*'TE BF'!$N$48</f>
        <v>0</v>
      </c>
      <c r="O15" s="26">
        <f>'TE BE'!$O$15*'TE BF'!$O$48</f>
        <v>0</v>
      </c>
      <c r="P15" s="26">
        <f>'TE BE'!$P$15*'TE BF'!$P$48</f>
        <v>0</v>
      </c>
      <c r="Q15" s="26">
        <f>SUM($L$15:$P$15)</f>
        <v>0</v>
      </c>
      <c r="R15" s="26">
        <f>'TE BE'!$R$15*'TE BF'!$R$48</f>
        <v>0</v>
      </c>
      <c r="S15" s="26">
        <f>SUM($R$15:$R$15)</f>
        <v>0</v>
      </c>
      <c r="T15" s="26">
        <f>'TE BE'!$T$15*'TE BF'!$T$48</f>
        <v>0</v>
      </c>
      <c r="U15" s="26">
        <f>'TE BE'!$U$15*'TE BF'!$U$48</f>
        <v>0</v>
      </c>
      <c r="V15" s="26">
        <f>'TE BE'!$V$15*'TE BF'!$V$48</f>
        <v>0</v>
      </c>
      <c r="W15" s="26">
        <f>SUM($T$15:$V$15)</f>
        <v>0</v>
      </c>
      <c r="X15" s="26">
        <f>'TE BE'!$AB$15*'TE BF'!$X$48</f>
        <v>0</v>
      </c>
      <c r="Y15" s="26">
        <f>SUM($X$15:$X$15)</f>
        <v>0</v>
      </c>
      <c r="Z15" s="26">
        <f>'TE BE'!$Z$15*'TE BF'!$Z$48</f>
        <v>0</v>
      </c>
      <c r="AA15" s="26">
        <f>SUM($Z$15:$Z$15)</f>
        <v>0</v>
      </c>
      <c r="AB15" s="26">
        <f>SUMIF($L$4:$AA$4,"SUBTOTAL",$L$15:$AA$15)</f>
        <v>0</v>
      </c>
    </row>
    <row r="16" spans="1:28" ht="11.25" customHeight="1" x14ac:dyDescent="0.25">
      <c r="A16" s="114"/>
      <c r="B16" s="114"/>
      <c r="C16" s="114"/>
      <c r="D16" s="28" t="s">
        <v>41</v>
      </c>
      <c r="E16" s="28" t="s">
        <v>25</v>
      </c>
      <c r="F16" s="28" t="s">
        <v>25</v>
      </c>
      <c r="G16" s="29" t="s">
        <v>67</v>
      </c>
      <c r="H16" s="29" t="s">
        <v>60</v>
      </c>
      <c r="I16" s="29">
        <f>'MERCADO TE'!$U$13</f>
        <v>0</v>
      </c>
      <c r="J16" s="15"/>
      <c r="L16" s="26">
        <f>'TE BE'!$L$16*'TE BF'!$L$48</f>
        <v>0</v>
      </c>
      <c r="M16" s="26">
        <f>'TE BE'!$M$16*'TE BF'!$M$48</f>
        <v>0</v>
      </c>
      <c r="N16" s="26">
        <f>'TE BE'!$N$16*'TE BF'!$N$48</f>
        <v>0</v>
      </c>
      <c r="O16" s="26">
        <f>'TE BE'!$O$16*'TE BF'!$O$48</f>
        <v>0</v>
      </c>
      <c r="P16" s="26">
        <f>'TE BE'!$P$16*'TE BF'!$P$48</f>
        <v>0</v>
      </c>
      <c r="Q16" s="26">
        <f>SUM($L$16:$P$16)</f>
        <v>0</v>
      </c>
      <c r="R16" s="26">
        <f>'TE BE'!$R$16*'TE BF'!$R$48</f>
        <v>0</v>
      </c>
      <c r="S16" s="26">
        <f>SUM($R$16:$R$16)</f>
        <v>0</v>
      </c>
      <c r="T16" s="26">
        <f>'TE BE'!$T$16*'TE BF'!$T$48</f>
        <v>0</v>
      </c>
      <c r="U16" s="26">
        <f>'TE BE'!$U$16*'TE BF'!$U$48</f>
        <v>0</v>
      </c>
      <c r="V16" s="26">
        <f>'TE BE'!$V$16*'TE BF'!$V$48</f>
        <v>0</v>
      </c>
      <c r="W16" s="26">
        <f>SUM($T$16:$V$16)</f>
        <v>0</v>
      </c>
      <c r="X16" s="26">
        <f>'TE BE'!$AB$16*'TE BF'!$X$48</f>
        <v>0</v>
      </c>
      <c r="Y16" s="26">
        <f>SUM($X$16:$X$16)</f>
        <v>0</v>
      </c>
      <c r="Z16" s="26">
        <f>'TE BE'!$Z$16*'TE BF'!$Z$48</f>
        <v>0</v>
      </c>
      <c r="AA16" s="26">
        <f>SUM($Z$16:$Z$16)</f>
        <v>0</v>
      </c>
      <c r="AB16" s="26">
        <f>SUMIF($L$4:$AA$4,"SUBTOTAL",$L$16:$AA$16)</f>
        <v>0</v>
      </c>
    </row>
    <row r="17" spans="1:28" ht="11.25" customHeight="1" x14ac:dyDescent="0.25">
      <c r="A17" s="114"/>
      <c r="B17" s="114"/>
      <c r="C17" s="114"/>
      <c r="D17" s="28" t="s">
        <v>42</v>
      </c>
      <c r="E17" s="28" t="s">
        <v>25</v>
      </c>
      <c r="F17" s="28" t="s">
        <v>25</v>
      </c>
      <c r="G17" s="29" t="s">
        <v>67</v>
      </c>
      <c r="H17" s="29" t="s">
        <v>60</v>
      </c>
      <c r="I17" s="29">
        <f>'MERCADO TE'!$U$14</f>
        <v>0</v>
      </c>
      <c r="J17" s="15"/>
      <c r="L17" s="26">
        <f>'TE BE'!$L$17*'TE BF'!$L$48</f>
        <v>0</v>
      </c>
      <c r="M17" s="26">
        <f>'TE BE'!$M$17*'TE BF'!$M$48</f>
        <v>0</v>
      </c>
      <c r="N17" s="26">
        <f>'TE BE'!$N$17*'TE BF'!$N$48</f>
        <v>0</v>
      </c>
      <c r="O17" s="26">
        <f>'TE BE'!$O$17*'TE BF'!$O$48</f>
        <v>0</v>
      </c>
      <c r="P17" s="26">
        <f>'TE BE'!$P$17*'TE BF'!$P$48</f>
        <v>0</v>
      </c>
      <c r="Q17" s="26">
        <f>SUM($L$17:$P$17)</f>
        <v>0</v>
      </c>
      <c r="R17" s="26">
        <f>'TE BE'!$R$17*'TE BF'!$R$48</f>
        <v>0</v>
      </c>
      <c r="S17" s="26">
        <f>SUM($R$17:$R$17)</f>
        <v>0</v>
      </c>
      <c r="T17" s="26">
        <f>'TE BE'!$T$17*'TE BF'!$T$48</f>
        <v>0</v>
      </c>
      <c r="U17" s="26">
        <f>'TE BE'!$U$17*'TE BF'!$U$48</f>
        <v>0</v>
      </c>
      <c r="V17" s="26">
        <f>'TE BE'!$V$17*'TE BF'!$V$48</f>
        <v>0</v>
      </c>
      <c r="W17" s="26">
        <f>SUM($T$17:$V$17)</f>
        <v>0</v>
      </c>
      <c r="X17" s="26">
        <f>'TE BE'!$AB$17*'TE BF'!$X$48</f>
        <v>0</v>
      </c>
      <c r="Y17" s="26">
        <f>SUM($X$17:$X$17)</f>
        <v>0</v>
      </c>
      <c r="Z17" s="26">
        <f>'TE BE'!$Z$17*'TE BF'!$Z$48</f>
        <v>0</v>
      </c>
      <c r="AA17" s="26">
        <f>SUM($Z$17:$Z$17)</f>
        <v>0</v>
      </c>
      <c r="AB17" s="26">
        <f>SUMIF($L$4:$AA$4,"SUBTOTAL",$L$17:$AA$17)</f>
        <v>0</v>
      </c>
    </row>
    <row r="18" spans="1:28" ht="11.25" customHeight="1" x14ac:dyDescent="0.25">
      <c r="A18" s="114"/>
      <c r="B18" s="114"/>
      <c r="C18" s="114"/>
      <c r="D18" s="28" t="s">
        <v>39</v>
      </c>
      <c r="E18" s="28" t="s">
        <v>25</v>
      </c>
      <c r="F18" s="28" t="s">
        <v>25</v>
      </c>
      <c r="G18" s="29" t="s">
        <v>67</v>
      </c>
      <c r="H18" s="29" t="s">
        <v>60</v>
      </c>
      <c r="I18" s="29">
        <f>'MERCADO TE'!$U$15</f>
        <v>0</v>
      </c>
      <c r="J18" s="15"/>
      <c r="L18" s="26">
        <f>'TE BE'!$L$18*'TE BF'!$L$48</f>
        <v>0</v>
      </c>
      <c r="M18" s="26">
        <f>'TE BE'!$M$18*'TE BF'!$M$48</f>
        <v>0</v>
      </c>
      <c r="N18" s="26">
        <f>'TE BE'!$N$18*'TE BF'!$N$48</f>
        <v>0</v>
      </c>
      <c r="O18" s="26">
        <f>'TE BE'!$O$18*'TE BF'!$O$48</f>
        <v>0</v>
      </c>
      <c r="P18" s="26">
        <f>'TE BE'!$P$18*'TE BF'!$P$48</f>
        <v>0</v>
      </c>
      <c r="Q18" s="26">
        <f>SUM($L$18:$P$18)</f>
        <v>0</v>
      </c>
      <c r="R18" s="26">
        <f>'TE BE'!$R$18*'TE BF'!$R$48</f>
        <v>0</v>
      </c>
      <c r="S18" s="26">
        <f>SUM($R$18:$R$18)</f>
        <v>0</v>
      </c>
      <c r="T18" s="26">
        <f>'TE BE'!$T$18*'TE BF'!$T$48</f>
        <v>0</v>
      </c>
      <c r="U18" s="26">
        <f>'TE BE'!$U$18*'TE BF'!$U$48</f>
        <v>0</v>
      </c>
      <c r="V18" s="26">
        <f>'TE BE'!$V$18*'TE BF'!$V$48</f>
        <v>0</v>
      </c>
      <c r="W18" s="26">
        <f>SUM($T$18:$V$18)</f>
        <v>0</v>
      </c>
      <c r="X18" s="26">
        <f>'TE BE'!$AB$18*'TE BF'!$X$48</f>
        <v>0</v>
      </c>
      <c r="Y18" s="26">
        <f>SUM($X$18:$X$18)</f>
        <v>0</v>
      </c>
      <c r="Z18" s="26">
        <f>'TE BE'!$Z$18*'TE BF'!$Z$48</f>
        <v>0</v>
      </c>
      <c r="AA18" s="26">
        <f>SUM($Z$18:$Z$18)</f>
        <v>0</v>
      </c>
      <c r="AB18" s="26">
        <f>SUMIF($L$4:$AA$4,"SUBTOTAL",$L$18:$AA$18)</f>
        <v>0</v>
      </c>
    </row>
    <row r="19" spans="1:28" ht="11.25" customHeight="1" x14ac:dyDescent="0.25">
      <c r="A19" s="114"/>
      <c r="B19" s="114"/>
      <c r="C19" s="114"/>
      <c r="D19" s="28" t="s">
        <v>40</v>
      </c>
      <c r="E19" s="28" t="s">
        <v>25</v>
      </c>
      <c r="F19" s="28" t="s">
        <v>25</v>
      </c>
      <c r="G19" s="29" t="s">
        <v>67</v>
      </c>
      <c r="H19" s="29" t="s">
        <v>60</v>
      </c>
      <c r="I19" s="29">
        <f>'MERCADO TE'!$U$16</f>
        <v>0</v>
      </c>
      <c r="J19" s="15"/>
      <c r="L19" s="26">
        <f>'TE BE'!$L$19*'TE BF'!$L$48</f>
        <v>0</v>
      </c>
      <c r="M19" s="26">
        <f>'TE BE'!$M$19*'TE BF'!$M$48</f>
        <v>0</v>
      </c>
      <c r="N19" s="26">
        <f>'TE BE'!$N$19*'TE BF'!$N$48</f>
        <v>0</v>
      </c>
      <c r="O19" s="26">
        <f>'TE BE'!$O$19*'TE BF'!$O$48</f>
        <v>0</v>
      </c>
      <c r="P19" s="26">
        <f>'TE BE'!$P$19*'TE BF'!$P$48</f>
        <v>0</v>
      </c>
      <c r="Q19" s="26">
        <f>SUM($L$19:$P$19)</f>
        <v>0</v>
      </c>
      <c r="R19" s="26">
        <f>'TE BE'!$R$19*'TE BF'!$R$48</f>
        <v>0</v>
      </c>
      <c r="S19" s="26">
        <f>SUM($R$19:$R$19)</f>
        <v>0</v>
      </c>
      <c r="T19" s="26">
        <f>'TE BE'!$T$19*'TE BF'!$T$48</f>
        <v>0</v>
      </c>
      <c r="U19" s="26">
        <f>'TE BE'!$U$19*'TE BF'!$U$48</f>
        <v>0</v>
      </c>
      <c r="V19" s="26">
        <f>'TE BE'!$V$19*'TE BF'!$V$48</f>
        <v>0</v>
      </c>
      <c r="W19" s="26">
        <f>SUM($T$19:$V$19)</f>
        <v>0</v>
      </c>
      <c r="X19" s="26">
        <f>'TE BE'!$AB$19*'TE BF'!$X$48</f>
        <v>0</v>
      </c>
      <c r="Y19" s="26">
        <f>SUM($X$19:$X$19)</f>
        <v>0</v>
      </c>
      <c r="Z19" s="26">
        <f>'TE BE'!$Z$19*'TE BF'!$Z$48</f>
        <v>0</v>
      </c>
      <c r="AA19" s="26">
        <f>SUM($Z$19:$Z$19)</f>
        <v>0</v>
      </c>
      <c r="AB19" s="26">
        <f>SUMIF($L$4:$AA$4,"SUBTOTAL",$L$19:$AA$19)</f>
        <v>0</v>
      </c>
    </row>
    <row r="20" spans="1:28" ht="11.25" customHeight="1" x14ac:dyDescent="0.25">
      <c r="A20" s="114" t="s">
        <v>31</v>
      </c>
      <c r="B20" s="114" t="s">
        <v>59</v>
      </c>
      <c r="C20" s="114" t="s">
        <v>32</v>
      </c>
      <c r="D20" s="114" t="s">
        <v>25</v>
      </c>
      <c r="E20" s="114" t="s">
        <v>25</v>
      </c>
      <c r="F20" s="114" t="s">
        <v>25</v>
      </c>
      <c r="G20" s="29" t="s">
        <v>61</v>
      </c>
      <c r="H20" s="29" t="s">
        <v>60</v>
      </c>
      <c r="I20" s="29">
        <f>'MERCADO TE'!$U$17</f>
        <v>0</v>
      </c>
      <c r="J20" s="15"/>
      <c r="L20" s="26">
        <f>'TE BE'!$L$20*'TE BF'!$L$48</f>
        <v>0</v>
      </c>
      <c r="M20" s="26">
        <f>'TE BE'!$M$20*'TE BF'!$M$48</f>
        <v>0</v>
      </c>
      <c r="N20" s="26">
        <f>'TE BE'!$N$20*'TE BF'!$N$48</f>
        <v>0</v>
      </c>
      <c r="O20" s="26">
        <f>'TE BE'!$O$20*'TE BF'!$O$48</f>
        <v>0</v>
      </c>
      <c r="P20" s="26">
        <f>'TE BE'!$P$20*'TE BF'!$P$48</f>
        <v>0</v>
      </c>
      <c r="Q20" s="26">
        <f>SUM($L$20:$P$20)</f>
        <v>0</v>
      </c>
      <c r="R20" s="26">
        <f>'TE BE'!$R$20*'TE BF'!$R$48</f>
        <v>0</v>
      </c>
      <c r="S20" s="26">
        <f>SUM($R$20:$R$20)</f>
        <v>0</v>
      </c>
      <c r="T20" s="26">
        <f>'TE BE'!$T$20*'TE BF'!$T$48</f>
        <v>0</v>
      </c>
      <c r="U20" s="26">
        <f>'TE BE'!$U$20*'TE BF'!$U$48</f>
        <v>0</v>
      </c>
      <c r="V20" s="26">
        <f>'TE BE'!$V$20*'TE BF'!$V$48</f>
        <v>0</v>
      </c>
      <c r="W20" s="26">
        <f>SUM($T$20:$V$20)</f>
        <v>0</v>
      </c>
      <c r="X20" s="26">
        <f>'TE BE'!$AB$20*'TE BF'!$X$48</f>
        <v>0</v>
      </c>
      <c r="Y20" s="26">
        <f>SUM($X$20:$X$20)</f>
        <v>0</v>
      </c>
      <c r="Z20" s="26">
        <f>'TE BE'!$Z$20*'TE BF'!$Z$48</f>
        <v>0</v>
      </c>
      <c r="AA20" s="26">
        <f>SUM($Z$20:$Z$20)</f>
        <v>0</v>
      </c>
      <c r="AB20" s="26">
        <f>SUMIF($L$4:$AA$4,"SUBTOTAL",$L$20:$AA$20)</f>
        <v>0</v>
      </c>
    </row>
    <row r="21" spans="1:28" ht="11.25" customHeight="1" x14ac:dyDescent="0.25">
      <c r="A21" s="114"/>
      <c r="B21" s="114"/>
      <c r="C21" s="114"/>
      <c r="D21" s="114"/>
      <c r="E21" s="114"/>
      <c r="F21" s="114"/>
      <c r="G21" s="29" t="s">
        <v>74</v>
      </c>
      <c r="H21" s="29" t="s">
        <v>60</v>
      </c>
      <c r="I21" s="29">
        <f>'MERCADO TE'!$U$18</f>
        <v>0</v>
      </c>
      <c r="J21" s="15"/>
      <c r="L21" s="26">
        <f>'TE BE'!$L$21*'TE BF'!$L$48</f>
        <v>0</v>
      </c>
      <c r="M21" s="26">
        <f>'TE BE'!$M$21*'TE BF'!$M$48</f>
        <v>0</v>
      </c>
      <c r="N21" s="26">
        <f>'TE BE'!$N$21*'TE BF'!$N$48</f>
        <v>0</v>
      </c>
      <c r="O21" s="26">
        <f>'TE BE'!$O$21*'TE BF'!$O$48</f>
        <v>0</v>
      </c>
      <c r="P21" s="26">
        <f>'TE BE'!$P$21*'TE BF'!$P$48</f>
        <v>0</v>
      </c>
      <c r="Q21" s="26">
        <f>SUM($L$21:$P$21)</f>
        <v>0</v>
      </c>
      <c r="R21" s="26">
        <f>'TE BE'!$R$21*'TE BF'!$R$48</f>
        <v>0</v>
      </c>
      <c r="S21" s="26">
        <f>SUM($R$21:$R$21)</f>
        <v>0</v>
      </c>
      <c r="T21" s="26">
        <f>'TE BE'!$T$21*'TE BF'!$T$48</f>
        <v>0</v>
      </c>
      <c r="U21" s="26">
        <f>'TE BE'!$U$21*'TE BF'!$U$48</f>
        <v>0</v>
      </c>
      <c r="V21" s="26">
        <f>'TE BE'!$V$21*'TE BF'!$V$48</f>
        <v>0</v>
      </c>
      <c r="W21" s="26">
        <f>SUM($T$21:$V$21)</f>
        <v>0</v>
      </c>
      <c r="X21" s="26">
        <f>'TE BE'!$AB$21*'TE BF'!$X$48</f>
        <v>0</v>
      </c>
      <c r="Y21" s="26">
        <f>SUM($X$21:$X$21)</f>
        <v>0</v>
      </c>
      <c r="Z21" s="26">
        <f>'TE BE'!$Z$21*'TE BF'!$Z$48</f>
        <v>0</v>
      </c>
      <c r="AA21" s="26">
        <f>SUM($Z$21:$Z$21)</f>
        <v>0</v>
      </c>
      <c r="AB21" s="26">
        <f>SUMIF($L$4:$AA$4,"SUBTOTAL",$L$21:$AA$21)</f>
        <v>0</v>
      </c>
    </row>
    <row r="22" spans="1:28" ht="11.25" customHeight="1" x14ac:dyDescent="0.25">
      <c r="A22" s="114"/>
      <c r="B22" s="114"/>
      <c r="C22" s="114"/>
      <c r="D22" s="114"/>
      <c r="E22" s="114"/>
      <c r="F22" s="114"/>
      <c r="G22" s="29" t="s">
        <v>62</v>
      </c>
      <c r="H22" s="29" t="s">
        <v>60</v>
      </c>
      <c r="I22" s="29">
        <f>'MERCADO TE'!$U$19</f>
        <v>0</v>
      </c>
      <c r="J22" s="15"/>
      <c r="L22" s="26">
        <f>'TE BE'!$L$22*'TE BF'!$L$48</f>
        <v>0</v>
      </c>
      <c r="M22" s="26">
        <f>'TE BE'!$M$22*'TE BF'!$M$48</f>
        <v>0</v>
      </c>
      <c r="N22" s="26">
        <f>'TE BE'!$N$22*'TE BF'!$N$48</f>
        <v>0</v>
      </c>
      <c r="O22" s="26">
        <f>'TE BE'!$O$22*'TE BF'!$O$48</f>
        <v>0</v>
      </c>
      <c r="P22" s="26">
        <f>'TE BE'!$P$22*'TE BF'!$P$48</f>
        <v>0</v>
      </c>
      <c r="Q22" s="26">
        <f>SUM($L$22:$P$22)</f>
        <v>0</v>
      </c>
      <c r="R22" s="26">
        <f>'TE BE'!$R$22*'TE BF'!$R$48</f>
        <v>0</v>
      </c>
      <c r="S22" s="26">
        <f>SUM($R$22:$R$22)</f>
        <v>0</v>
      </c>
      <c r="T22" s="26">
        <f>'TE BE'!$T$22*'TE BF'!$T$48</f>
        <v>0</v>
      </c>
      <c r="U22" s="26">
        <f>'TE BE'!$U$22*'TE BF'!$U$48</f>
        <v>0</v>
      </c>
      <c r="V22" s="26">
        <f>'TE BE'!$V$22*'TE BF'!$V$48</f>
        <v>0</v>
      </c>
      <c r="W22" s="26">
        <f>SUM($T$22:$V$22)</f>
        <v>0</v>
      </c>
      <c r="X22" s="26">
        <f>'TE BE'!$AB$22*'TE BF'!$X$48</f>
        <v>0</v>
      </c>
      <c r="Y22" s="26">
        <f>SUM($X$22:$X$22)</f>
        <v>0</v>
      </c>
      <c r="Z22" s="26">
        <f>'TE BE'!$Z$22*'TE BF'!$Z$48</f>
        <v>0</v>
      </c>
      <c r="AA22" s="26">
        <f>SUM($Z$22:$Z$22)</f>
        <v>0</v>
      </c>
      <c r="AB22" s="26">
        <f>SUMIF($L$4:$AA$4,"SUBTOTAL",$L$22:$AA$22)</f>
        <v>0</v>
      </c>
    </row>
    <row r="23" spans="1:28" ht="11.25" customHeight="1" x14ac:dyDescent="0.25">
      <c r="A23" s="114"/>
      <c r="B23" s="28" t="s">
        <v>75</v>
      </c>
      <c r="C23" s="28" t="s">
        <v>32</v>
      </c>
      <c r="D23" s="28" t="s">
        <v>25</v>
      </c>
      <c r="E23" s="28" t="s">
        <v>25</v>
      </c>
      <c r="F23" s="28" t="s">
        <v>25</v>
      </c>
      <c r="G23" s="29" t="s">
        <v>67</v>
      </c>
      <c r="H23" s="29" t="s">
        <v>60</v>
      </c>
      <c r="I23" s="29">
        <f>'MERCADO TE'!$U$20</f>
        <v>6180.567</v>
      </c>
      <c r="J23" s="15"/>
      <c r="L23" s="26">
        <f>'TE BE'!$L$23*'TE BF'!$L$48</f>
        <v>0</v>
      </c>
      <c r="M23" s="26">
        <f>'TE BE'!$M$23*'TE BF'!$M$48</f>
        <v>0</v>
      </c>
      <c r="N23" s="26">
        <f>'TE BE'!$N$23*'TE BF'!$N$48</f>
        <v>0</v>
      </c>
      <c r="O23" s="26">
        <f>'TE BE'!$O$23*'TE BF'!$O$48</f>
        <v>0</v>
      </c>
      <c r="P23" s="26">
        <f>'TE BE'!$P$23*'TE BF'!$P$48</f>
        <v>0</v>
      </c>
      <c r="Q23" s="26">
        <f>SUM($L$23:$P$23)</f>
        <v>0</v>
      </c>
      <c r="R23" s="26">
        <f>'TE BE'!$R$23*'TE BF'!$R$48</f>
        <v>0</v>
      </c>
      <c r="S23" s="26">
        <f>SUM($R$23:$R$23)</f>
        <v>0</v>
      </c>
      <c r="T23" s="26">
        <f>'TE BE'!$T$23*'TE BF'!$T$48</f>
        <v>0</v>
      </c>
      <c r="U23" s="26">
        <f>'TE BE'!$U$23*'TE BF'!$U$48</f>
        <v>0</v>
      </c>
      <c r="V23" s="26">
        <f>'TE BE'!$V$23*'TE BF'!$V$48</f>
        <v>0</v>
      </c>
      <c r="W23" s="26">
        <f>SUM($T$23:$V$23)</f>
        <v>0</v>
      </c>
      <c r="X23" s="26">
        <f>'TE BE'!$AB$23*'TE BF'!$X$48</f>
        <v>0</v>
      </c>
      <c r="Y23" s="26">
        <f>SUM($X$23:$X$23)</f>
        <v>0</v>
      </c>
      <c r="Z23" s="26">
        <f>'TE BE'!$Z$23*'TE BF'!$Z$48</f>
        <v>0</v>
      </c>
      <c r="AA23" s="26">
        <f>SUM($Z$23:$Z$23)</f>
        <v>0</v>
      </c>
      <c r="AB23" s="26">
        <f>SUMIF($L$4:$AA$4,"SUBTOTAL",$L$23:$AA$23)</f>
        <v>0</v>
      </c>
    </row>
    <row r="24" spans="1:28" ht="11.25" customHeight="1" x14ac:dyDescent="0.25">
      <c r="A24" s="114"/>
      <c r="B24" s="114" t="s">
        <v>59</v>
      </c>
      <c r="C24" s="114" t="s">
        <v>32</v>
      </c>
      <c r="D24" s="114" t="s">
        <v>79</v>
      </c>
      <c r="E24" s="114" t="s">
        <v>25</v>
      </c>
      <c r="F24" s="114" t="s">
        <v>25</v>
      </c>
      <c r="G24" s="29" t="s">
        <v>61</v>
      </c>
      <c r="H24" s="29" t="s">
        <v>60</v>
      </c>
      <c r="I24" s="29">
        <f>'MERCADO TE'!$U$21</f>
        <v>0</v>
      </c>
      <c r="J24" s="15"/>
      <c r="L24" s="26">
        <f>'TE BE'!$L$24*'TE BF'!$L$48</f>
        <v>0</v>
      </c>
      <c r="M24" s="26">
        <f>'TE BE'!$M$24*'TE BF'!$M$48</f>
        <v>0</v>
      </c>
      <c r="N24" s="26">
        <f>'TE BE'!$N$24*'TE BF'!$N$48</f>
        <v>0</v>
      </c>
      <c r="O24" s="26">
        <f>'TE BE'!$O$24*'TE BF'!$O$48</f>
        <v>0</v>
      </c>
      <c r="P24" s="26">
        <f>'TE BE'!$P$24*'TE BF'!$P$48</f>
        <v>0</v>
      </c>
      <c r="Q24" s="26">
        <f>SUM($L$24:$P$24)</f>
        <v>0</v>
      </c>
      <c r="R24" s="26">
        <f>'TE BE'!$R$24*'TE BF'!$R$48</f>
        <v>0</v>
      </c>
      <c r="S24" s="26">
        <f>SUM($R$24:$R$24)</f>
        <v>0</v>
      </c>
      <c r="T24" s="26">
        <f>'TE BE'!$T$24*'TE BF'!$T$48</f>
        <v>0</v>
      </c>
      <c r="U24" s="26">
        <f>'TE BE'!$U$24*'TE BF'!$U$48</f>
        <v>0</v>
      </c>
      <c r="V24" s="26">
        <f>'TE BE'!$V$24*'TE BF'!$V$48</f>
        <v>0</v>
      </c>
      <c r="W24" s="26">
        <f>SUM($T$24:$V$24)</f>
        <v>0</v>
      </c>
      <c r="X24" s="26">
        <f>'TE BE'!$AB$24*'TE BF'!$X$48</f>
        <v>0</v>
      </c>
      <c r="Y24" s="26">
        <f>SUM($X$24:$X$24)</f>
        <v>0</v>
      </c>
      <c r="Z24" s="26">
        <f>'TE BE'!$Z$24*'TE BF'!$Z$48</f>
        <v>0</v>
      </c>
      <c r="AA24" s="26">
        <f>SUM($Z$24:$Z$24)</f>
        <v>0</v>
      </c>
      <c r="AB24" s="26">
        <f>SUMIF($L$4:$AA$4,"SUBTOTAL",$L$24:$AA$24)</f>
        <v>0</v>
      </c>
    </row>
    <row r="25" spans="1:28" ht="11.25" customHeight="1" x14ac:dyDescent="0.25">
      <c r="A25" s="114"/>
      <c r="B25" s="114"/>
      <c r="C25" s="114"/>
      <c r="D25" s="114"/>
      <c r="E25" s="114"/>
      <c r="F25" s="114"/>
      <c r="G25" s="29" t="s">
        <v>74</v>
      </c>
      <c r="H25" s="29" t="s">
        <v>60</v>
      </c>
      <c r="I25" s="29">
        <f>'MERCADO TE'!$U$22</f>
        <v>0</v>
      </c>
      <c r="J25" s="15"/>
      <c r="L25" s="26">
        <f>'TE BE'!$L$25*'TE BF'!$L$48</f>
        <v>0</v>
      </c>
      <c r="M25" s="26">
        <f>'TE BE'!$M$25*'TE BF'!$M$48</f>
        <v>0</v>
      </c>
      <c r="N25" s="26">
        <f>'TE BE'!$N$25*'TE BF'!$N$48</f>
        <v>0</v>
      </c>
      <c r="O25" s="26">
        <f>'TE BE'!$O$25*'TE BF'!$O$48</f>
        <v>0</v>
      </c>
      <c r="P25" s="26">
        <f>'TE BE'!$P$25*'TE BF'!$P$48</f>
        <v>0</v>
      </c>
      <c r="Q25" s="26">
        <f>SUM($L$25:$P$25)</f>
        <v>0</v>
      </c>
      <c r="R25" s="26">
        <f>'TE BE'!$R$25*'TE BF'!$R$48</f>
        <v>0</v>
      </c>
      <c r="S25" s="26">
        <f>SUM($R$25:$R$25)</f>
        <v>0</v>
      </c>
      <c r="T25" s="26">
        <f>'TE BE'!$T$25*'TE BF'!$T$48</f>
        <v>0</v>
      </c>
      <c r="U25" s="26">
        <f>'TE BE'!$U$25*'TE BF'!$U$48</f>
        <v>0</v>
      </c>
      <c r="V25" s="26">
        <f>'TE BE'!$V$25*'TE BF'!$V$48</f>
        <v>0</v>
      </c>
      <c r="W25" s="26">
        <f>SUM($T$25:$V$25)</f>
        <v>0</v>
      </c>
      <c r="X25" s="26">
        <f>'TE BE'!$AB$25*'TE BF'!$X$48</f>
        <v>0</v>
      </c>
      <c r="Y25" s="26">
        <f>SUM($X$25:$X$25)</f>
        <v>0</v>
      </c>
      <c r="Z25" s="26">
        <f>'TE BE'!$Z$25*'TE BF'!$Z$48</f>
        <v>0</v>
      </c>
      <c r="AA25" s="26">
        <f>SUM($Z$25:$Z$25)</f>
        <v>0</v>
      </c>
      <c r="AB25" s="26">
        <f>SUMIF($L$4:$AA$4,"SUBTOTAL",$L$25:$AA$25)</f>
        <v>0</v>
      </c>
    </row>
    <row r="26" spans="1:28" ht="11.25" customHeight="1" x14ac:dyDescent="0.25">
      <c r="A26" s="114"/>
      <c r="B26" s="114"/>
      <c r="C26" s="114"/>
      <c r="D26" s="114"/>
      <c r="E26" s="114"/>
      <c r="F26" s="114"/>
      <c r="G26" s="29" t="s">
        <v>62</v>
      </c>
      <c r="H26" s="29" t="s">
        <v>60</v>
      </c>
      <c r="I26" s="29">
        <f>'MERCADO TE'!$U$23</f>
        <v>0</v>
      </c>
      <c r="J26" s="15"/>
      <c r="L26" s="26">
        <f>'TE BE'!$L$26*'TE BF'!$L$48</f>
        <v>0</v>
      </c>
      <c r="M26" s="26">
        <f>'TE BE'!$M$26*'TE BF'!$M$48</f>
        <v>0</v>
      </c>
      <c r="N26" s="26">
        <f>'TE BE'!$N$26*'TE BF'!$N$48</f>
        <v>0</v>
      </c>
      <c r="O26" s="26">
        <f>'TE BE'!$O$26*'TE BF'!$O$48</f>
        <v>0</v>
      </c>
      <c r="P26" s="26">
        <f>'TE BE'!$P$26*'TE BF'!$P$48</f>
        <v>0</v>
      </c>
      <c r="Q26" s="26">
        <f>SUM($L$26:$P$26)</f>
        <v>0</v>
      </c>
      <c r="R26" s="26">
        <f>'TE BE'!$R$26*'TE BF'!$R$48</f>
        <v>0</v>
      </c>
      <c r="S26" s="26">
        <f>SUM($R$26:$R$26)</f>
        <v>0</v>
      </c>
      <c r="T26" s="26">
        <f>'TE BE'!$T$26*'TE BF'!$T$48</f>
        <v>0</v>
      </c>
      <c r="U26" s="26">
        <f>'TE BE'!$U$26*'TE BF'!$U$48</f>
        <v>0</v>
      </c>
      <c r="V26" s="26">
        <f>'TE BE'!$V$26*'TE BF'!$V$48</f>
        <v>0</v>
      </c>
      <c r="W26" s="26">
        <f>SUM($T$26:$V$26)</f>
        <v>0</v>
      </c>
      <c r="X26" s="26">
        <f>'TE BE'!$AB$26*'TE BF'!$X$48</f>
        <v>0</v>
      </c>
      <c r="Y26" s="26">
        <f>SUM($X$26:$X$26)</f>
        <v>0</v>
      </c>
      <c r="Z26" s="26">
        <f>'TE BE'!$Z$26*'TE BF'!$Z$48</f>
        <v>0</v>
      </c>
      <c r="AA26" s="26">
        <f>SUM($Z$26:$Z$26)</f>
        <v>0</v>
      </c>
      <c r="AB26" s="26">
        <f>SUMIF($L$4:$AA$4,"SUBTOTAL",$L$26:$AA$26)</f>
        <v>0</v>
      </c>
    </row>
    <row r="27" spans="1:28" ht="11.25" customHeight="1" x14ac:dyDescent="0.25">
      <c r="A27" s="114"/>
      <c r="B27" s="28" t="s">
        <v>75</v>
      </c>
      <c r="C27" s="28" t="s">
        <v>32</v>
      </c>
      <c r="D27" s="28" t="s">
        <v>79</v>
      </c>
      <c r="E27" s="28" t="s">
        <v>25</v>
      </c>
      <c r="F27" s="28" t="s">
        <v>25</v>
      </c>
      <c r="G27" s="29" t="s">
        <v>67</v>
      </c>
      <c r="H27" s="29" t="s">
        <v>60</v>
      </c>
      <c r="I27" s="29">
        <f>'MERCADO TE'!$U$24</f>
        <v>0</v>
      </c>
      <c r="J27" s="15"/>
      <c r="L27" s="26">
        <f>'TE BE'!$L$27*'TE BF'!$L$48</f>
        <v>0</v>
      </c>
      <c r="M27" s="26">
        <f>'TE BE'!$M$27*'TE BF'!$M$48</f>
        <v>0</v>
      </c>
      <c r="N27" s="26">
        <f>'TE BE'!$N$27*'TE BF'!$N$48</f>
        <v>0</v>
      </c>
      <c r="O27" s="26">
        <f>'TE BE'!$O$27*'TE BF'!$O$48</f>
        <v>0</v>
      </c>
      <c r="P27" s="26">
        <f>'TE BE'!$P$27*'TE BF'!$P$48</f>
        <v>0</v>
      </c>
      <c r="Q27" s="26">
        <f>SUM($L$27:$P$27)</f>
        <v>0</v>
      </c>
      <c r="R27" s="26">
        <f>'TE BE'!$R$27*'TE BF'!$R$48</f>
        <v>0</v>
      </c>
      <c r="S27" s="26">
        <f>SUM($R$27:$R$27)</f>
        <v>0</v>
      </c>
      <c r="T27" s="26">
        <f>'TE BE'!$T$27*'TE BF'!$T$48</f>
        <v>0</v>
      </c>
      <c r="U27" s="26">
        <f>'TE BE'!$U$27*'TE BF'!$U$48</f>
        <v>0</v>
      </c>
      <c r="V27" s="26">
        <f>'TE BE'!$V$27*'TE BF'!$V$48</f>
        <v>0</v>
      </c>
      <c r="W27" s="26">
        <f>SUM($T$27:$V$27)</f>
        <v>0</v>
      </c>
      <c r="X27" s="26">
        <f>'TE BE'!$AB$27*'TE BF'!$X$48</f>
        <v>0</v>
      </c>
      <c r="Y27" s="26">
        <f>SUM($X$27:$X$27)</f>
        <v>0</v>
      </c>
      <c r="Z27" s="26">
        <f>'TE BE'!$Z$27*'TE BF'!$Z$48</f>
        <v>0</v>
      </c>
      <c r="AA27" s="26">
        <f>SUM($Z$27:$Z$27)</f>
        <v>0</v>
      </c>
      <c r="AB27" s="26">
        <f>SUMIF($L$4:$AA$4,"SUBTOTAL",$L$27:$AA$27)</f>
        <v>0</v>
      </c>
    </row>
    <row r="28" spans="1:28" ht="11.25" customHeight="1" x14ac:dyDescent="0.25">
      <c r="A28" s="114"/>
      <c r="B28" s="114" t="s">
        <v>59</v>
      </c>
      <c r="C28" s="114" t="s">
        <v>32</v>
      </c>
      <c r="D28" s="114" t="s">
        <v>80</v>
      </c>
      <c r="E28" s="114" t="s">
        <v>25</v>
      </c>
      <c r="F28" s="114" t="s">
        <v>25</v>
      </c>
      <c r="G28" s="29" t="s">
        <v>61</v>
      </c>
      <c r="H28" s="29" t="s">
        <v>60</v>
      </c>
      <c r="I28" s="29">
        <f>'MERCADO TE'!$U$25</f>
        <v>0</v>
      </c>
      <c r="J28" s="15"/>
      <c r="L28" s="26">
        <f>'TE BE'!$L$28*'TE BF'!$L$48</f>
        <v>0</v>
      </c>
      <c r="M28" s="26">
        <f>'TE BE'!$M$28*'TE BF'!$M$48</f>
        <v>0</v>
      </c>
      <c r="N28" s="26">
        <f>'TE BE'!$N$28*'TE BF'!$N$48</f>
        <v>0</v>
      </c>
      <c r="O28" s="26">
        <f>'TE BE'!$O$28*'TE BF'!$O$48</f>
        <v>0</v>
      </c>
      <c r="P28" s="26">
        <f>'TE BE'!$P$28*'TE BF'!$P$48</f>
        <v>0</v>
      </c>
      <c r="Q28" s="26">
        <f>SUM($L$28:$P$28)</f>
        <v>0</v>
      </c>
      <c r="R28" s="26">
        <f>'TE BE'!$R$28*'TE BF'!$R$48</f>
        <v>0</v>
      </c>
      <c r="S28" s="26">
        <f>SUM($R$28:$R$28)</f>
        <v>0</v>
      </c>
      <c r="T28" s="26">
        <f>'TE BE'!$T$28*'TE BF'!$T$48</f>
        <v>0</v>
      </c>
      <c r="U28" s="26">
        <f>'TE BE'!$U$28*'TE BF'!$U$48</f>
        <v>0</v>
      </c>
      <c r="V28" s="26">
        <f>'TE BE'!$V$28*'TE BF'!$V$48</f>
        <v>0</v>
      </c>
      <c r="W28" s="26">
        <f>SUM($T$28:$V$28)</f>
        <v>0</v>
      </c>
      <c r="X28" s="26">
        <f>'TE BE'!$AB$28*'TE BF'!$X$48</f>
        <v>0</v>
      </c>
      <c r="Y28" s="26">
        <f>SUM($X$28:$X$28)</f>
        <v>0</v>
      </c>
      <c r="Z28" s="26">
        <f>'TE BE'!$Z$28*'TE BF'!$Z$48</f>
        <v>0</v>
      </c>
      <c r="AA28" s="26">
        <f>SUM($Z$28:$Z$28)</f>
        <v>0</v>
      </c>
      <c r="AB28" s="26">
        <f>SUMIF($L$4:$AA$4,"SUBTOTAL",$L$28:$AA$28)</f>
        <v>0</v>
      </c>
    </row>
    <row r="29" spans="1:28" ht="11.25" customHeight="1" x14ac:dyDescent="0.25">
      <c r="A29" s="114"/>
      <c r="B29" s="114"/>
      <c r="C29" s="114"/>
      <c r="D29" s="114"/>
      <c r="E29" s="114"/>
      <c r="F29" s="114"/>
      <c r="G29" s="29" t="s">
        <v>74</v>
      </c>
      <c r="H29" s="29" t="s">
        <v>60</v>
      </c>
      <c r="I29" s="29">
        <f>'MERCADO TE'!$U$26</f>
        <v>0</v>
      </c>
      <c r="J29" s="15"/>
      <c r="L29" s="26">
        <f>'TE BE'!$L$29*'TE BF'!$L$48</f>
        <v>0</v>
      </c>
      <c r="M29" s="26">
        <f>'TE BE'!$M$29*'TE BF'!$M$48</f>
        <v>0</v>
      </c>
      <c r="N29" s="26">
        <f>'TE BE'!$N$29*'TE BF'!$N$48</f>
        <v>0</v>
      </c>
      <c r="O29" s="26">
        <f>'TE BE'!$O$29*'TE BF'!$O$48</f>
        <v>0</v>
      </c>
      <c r="P29" s="26">
        <f>'TE BE'!$P$29*'TE BF'!$P$48</f>
        <v>0</v>
      </c>
      <c r="Q29" s="26">
        <f>SUM($L$29:$P$29)</f>
        <v>0</v>
      </c>
      <c r="R29" s="26">
        <f>'TE BE'!$R$29*'TE BF'!$R$48</f>
        <v>0</v>
      </c>
      <c r="S29" s="26">
        <f>SUM($R$29:$R$29)</f>
        <v>0</v>
      </c>
      <c r="T29" s="26">
        <f>'TE BE'!$T$29*'TE BF'!$T$48</f>
        <v>0</v>
      </c>
      <c r="U29" s="26">
        <f>'TE BE'!$U$29*'TE BF'!$U$48</f>
        <v>0</v>
      </c>
      <c r="V29" s="26">
        <f>'TE BE'!$V$29*'TE BF'!$V$48</f>
        <v>0</v>
      </c>
      <c r="W29" s="26">
        <f>SUM($T$29:$V$29)</f>
        <v>0</v>
      </c>
      <c r="X29" s="26">
        <f>'TE BE'!$AB$29*'TE BF'!$X$48</f>
        <v>0</v>
      </c>
      <c r="Y29" s="26">
        <f>SUM($X$29:$X$29)</f>
        <v>0</v>
      </c>
      <c r="Z29" s="26">
        <f>'TE BE'!$Z$29*'TE BF'!$Z$48</f>
        <v>0</v>
      </c>
      <c r="AA29" s="26">
        <f>SUM($Z$29:$Z$29)</f>
        <v>0</v>
      </c>
      <c r="AB29" s="26">
        <f>SUMIF($L$4:$AA$4,"SUBTOTAL",$L$29:$AA$29)</f>
        <v>0</v>
      </c>
    </row>
    <row r="30" spans="1:28" ht="11.25" customHeight="1" x14ac:dyDescent="0.25">
      <c r="A30" s="114"/>
      <c r="B30" s="114"/>
      <c r="C30" s="114"/>
      <c r="D30" s="114"/>
      <c r="E30" s="114"/>
      <c r="F30" s="114"/>
      <c r="G30" s="29" t="s">
        <v>62</v>
      </c>
      <c r="H30" s="29" t="s">
        <v>60</v>
      </c>
      <c r="I30" s="29">
        <f>'MERCADO TE'!$U$27</f>
        <v>0</v>
      </c>
      <c r="J30" s="15"/>
      <c r="L30" s="26">
        <f>'TE BE'!$L$30*'TE BF'!$L$48</f>
        <v>0</v>
      </c>
      <c r="M30" s="26">
        <f>'TE BE'!$M$30*'TE BF'!$M$48</f>
        <v>0</v>
      </c>
      <c r="N30" s="26">
        <f>'TE BE'!$N$30*'TE BF'!$N$48</f>
        <v>0</v>
      </c>
      <c r="O30" s="26">
        <f>'TE BE'!$O$30*'TE BF'!$O$48</f>
        <v>0</v>
      </c>
      <c r="P30" s="26">
        <f>'TE BE'!$P$30*'TE BF'!$P$48</f>
        <v>0</v>
      </c>
      <c r="Q30" s="26">
        <f>SUM($L$30:$P$30)</f>
        <v>0</v>
      </c>
      <c r="R30" s="26">
        <f>'TE BE'!$R$30*'TE BF'!$R$48</f>
        <v>0</v>
      </c>
      <c r="S30" s="26">
        <f>SUM($R$30:$R$30)</f>
        <v>0</v>
      </c>
      <c r="T30" s="26">
        <f>'TE BE'!$T$30*'TE BF'!$T$48</f>
        <v>0</v>
      </c>
      <c r="U30" s="26">
        <f>'TE BE'!$U$30*'TE BF'!$U$48</f>
        <v>0</v>
      </c>
      <c r="V30" s="26">
        <f>'TE BE'!$V$30*'TE BF'!$V$48</f>
        <v>0</v>
      </c>
      <c r="W30" s="26">
        <f>SUM($T$30:$V$30)</f>
        <v>0</v>
      </c>
      <c r="X30" s="26">
        <f>'TE BE'!$AB$30*'TE BF'!$X$48</f>
        <v>0</v>
      </c>
      <c r="Y30" s="26">
        <f>SUM($X$30:$X$30)</f>
        <v>0</v>
      </c>
      <c r="Z30" s="26">
        <f>'TE BE'!$Z$30*'TE BF'!$Z$48</f>
        <v>0</v>
      </c>
      <c r="AA30" s="26">
        <f>SUM($Z$30:$Z$30)</f>
        <v>0</v>
      </c>
      <c r="AB30" s="26">
        <f>SUMIF($L$4:$AA$4,"SUBTOTAL",$L$30:$AA$30)</f>
        <v>0</v>
      </c>
    </row>
    <row r="31" spans="1:28" ht="11.25" customHeight="1" x14ac:dyDescent="0.25">
      <c r="A31" s="114"/>
      <c r="B31" s="28" t="s">
        <v>75</v>
      </c>
      <c r="C31" s="28" t="s">
        <v>32</v>
      </c>
      <c r="D31" s="28" t="s">
        <v>80</v>
      </c>
      <c r="E31" s="28" t="s">
        <v>25</v>
      </c>
      <c r="F31" s="28" t="s">
        <v>25</v>
      </c>
      <c r="G31" s="29" t="s">
        <v>67</v>
      </c>
      <c r="H31" s="29" t="s">
        <v>60</v>
      </c>
      <c r="I31" s="29">
        <f>'MERCADO TE'!$U$28</f>
        <v>0</v>
      </c>
      <c r="J31" s="15"/>
      <c r="L31" s="26">
        <f>'TE BE'!$L$31*'TE BF'!$L$48</f>
        <v>0</v>
      </c>
      <c r="M31" s="26">
        <f>'TE BE'!$M$31*'TE BF'!$M$48</f>
        <v>0</v>
      </c>
      <c r="N31" s="26">
        <f>'TE BE'!$N$31*'TE BF'!$N$48</f>
        <v>0</v>
      </c>
      <c r="O31" s="26">
        <f>'TE BE'!$O$31*'TE BF'!$O$48</f>
        <v>0</v>
      </c>
      <c r="P31" s="26">
        <f>'TE BE'!$P$31*'TE BF'!$P$48</f>
        <v>0</v>
      </c>
      <c r="Q31" s="26">
        <f>SUM($L$31:$P$31)</f>
        <v>0</v>
      </c>
      <c r="R31" s="26">
        <f>'TE BE'!$R$31*'TE BF'!$R$48</f>
        <v>0</v>
      </c>
      <c r="S31" s="26">
        <f>SUM($R$31:$R$31)</f>
        <v>0</v>
      </c>
      <c r="T31" s="26">
        <f>'TE BE'!$T$31*'TE BF'!$T$48</f>
        <v>0</v>
      </c>
      <c r="U31" s="26">
        <f>'TE BE'!$U$31*'TE BF'!$U$48</f>
        <v>0</v>
      </c>
      <c r="V31" s="26">
        <f>'TE BE'!$V$31*'TE BF'!$V$48</f>
        <v>0</v>
      </c>
      <c r="W31" s="26">
        <f>SUM($T$31:$V$31)</f>
        <v>0</v>
      </c>
      <c r="X31" s="26">
        <f>'TE BE'!$AB$31*'TE BF'!$X$48</f>
        <v>0</v>
      </c>
      <c r="Y31" s="26">
        <f>SUM($X$31:$X$31)</f>
        <v>0</v>
      </c>
      <c r="Z31" s="26">
        <f>'TE BE'!$Z$31*'TE BF'!$Z$48</f>
        <v>0</v>
      </c>
      <c r="AA31" s="26">
        <f>SUM($Z$31:$Z$31)</f>
        <v>0</v>
      </c>
      <c r="AB31" s="26">
        <f>SUMIF($L$4:$AA$4,"SUBTOTAL",$L$31:$AA$31)</f>
        <v>0</v>
      </c>
    </row>
    <row r="32" spans="1:28" ht="11.25" customHeight="1" x14ac:dyDescent="0.25">
      <c r="A32" s="114"/>
      <c r="B32" s="114" t="s">
        <v>77</v>
      </c>
      <c r="C32" s="114" t="s">
        <v>32</v>
      </c>
      <c r="D32" s="28" t="s">
        <v>25</v>
      </c>
      <c r="E32" s="28" t="s">
        <v>25</v>
      </c>
      <c r="F32" s="28" t="s">
        <v>25</v>
      </c>
      <c r="G32" s="29" t="s">
        <v>67</v>
      </c>
      <c r="H32" s="29" t="s">
        <v>60</v>
      </c>
      <c r="I32" s="29">
        <f>'MERCADO TE'!$U$29</f>
        <v>0</v>
      </c>
      <c r="J32" s="15"/>
      <c r="L32" s="26">
        <f>'TE BE'!$L$32*'TE BF'!$L$48</f>
        <v>0</v>
      </c>
      <c r="M32" s="26">
        <f>'TE BE'!$M$32*'TE BF'!$M$48</f>
        <v>0</v>
      </c>
      <c r="N32" s="26">
        <f>'TE BE'!$N$32*'TE BF'!$N$48</f>
        <v>0</v>
      </c>
      <c r="O32" s="26">
        <f>'TE BE'!$O$32*'TE BF'!$O$48</f>
        <v>0</v>
      </c>
      <c r="P32" s="26">
        <f>'TE BE'!$P$32*'TE BF'!$P$48</f>
        <v>0</v>
      </c>
      <c r="Q32" s="26">
        <f>SUM($L$32:$P$32)</f>
        <v>0</v>
      </c>
      <c r="R32" s="26">
        <f>'TE BE'!$R$32*'TE BF'!$R$48</f>
        <v>0</v>
      </c>
      <c r="S32" s="26">
        <f>SUM($R$32:$R$32)</f>
        <v>0</v>
      </c>
      <c r="T32" s="26">
        <f>'TE BE'!$T$32*'TE BF'!$T$48</f>
        <v>0</v>
      </c>
      <c r="U32" s="26">
        <f>'TE BE'!$U$32*'TE BF'!$U$48</f>
        <v>0</v>
      </c>
      <c r="V32" s="26">
        <f>'TE BE'!$V$32*'TE BF'!$V$48</f>
        <v>0</v>
      </c>
      <c r="W32" s="26">
        <f>SUM($T$32:$V$32)</f>
        <v>0</v>
      </c>
      <c r="X32" s="26">
        <f>'TE BE'!$AB$32*'TE BF'!$X$48</f>
        <v>0</v>
      </c>
      <c r="Y32" s="26">
        <f>SUM($X$32:$X$32)</f>
        <v>0</v>
      </c>
      <c r="Z32" s="26">
        <f>'TE BE'!$Z$32*'TE BF'!$Z$48</f>
        <v>0</v>
      </c>
      <c r="AA32" s="26">
        <f>SUM($Z$32:$Z$32)</f>
        <v>0</v>
      </c>
      <c r="AB32" s="26">
        <f>SUMIF($L$4:$AA$4,"SUBTOTAL",$L$32:$AA$32)</f>
        <v>0</v>
      </c>
    </row>
    <row r="33" spans="1:28" ht="11.25" customHeight="1" x14ac:dyDescent="0.25">
      <c r="A33" s="114"/>
      <c r="B33" s="114"/>
      <c r="C33" s="114"/>
      <c r="D33" s="28" t="s">
        <v>79</v>
      </c>
      <c r="E33" s="28" t="s">
        <v>25</v>
      </c>
      <c r="F33" s="28" t="s">
        <v>25</v>
      </c>
      <c r="G33" s="29" t="s">
        <v>67</v>
      </c>
      <c r="H33" s="29" t="s">
        <v>60</v>
      </c>
      <c r="I33" s="29">
        <f>'MERCADO TE'!$U$30</f>
        <v>0</v>
      </c>
      <c r="J33" s="15"/>
      <c r="L33" s="26">
        <f>'TE BE'!$L$33*'TE BF'!$L$48</f>
        <v>0</v>
      </c>
      <c r="M33" s="26">
        <f>'TE BE'!$M$33*'TE BF'!$M$48</f>
        <v>0</v>
      </c>
      <c r="N33" s="26">
        <f>'TE BE'!$N$33*'TE BF'!$N$48</f>
        <v>0</v>
      </c>
      <c r="O33" s="26">
        <f>'TE BE'!$O$33*'TE BF'!$O$48</f>
        <v>0</v>
      </c>
      <c r="P33" s="26">
        <f>'TE BE'!$P$33*'TE BF'!$P$48</f>
        <v>0</v>
      </c>
      <c r="Q33" s="26">
        <f>SUM($L$33:$P$33)</f>
        <v>0</v>
      </c>
      <c r="R33" s="26">
        <f>'TE BE'!$R$33*'TE BF'!$R$48</f>
        <v>0</v>
      </c>
      <c r="S33" s="26">
        <f>SUM($R$33:$R$33)</f>
        <v>0</v>
      </c>
      <c r="T33" s="26">
        <f>'TE BE'!$T$33*'TE BF'!$T$48</f>
        <v>0</v>
      </c>
      <c r="U33" s="26">
        <f>'TE BE'!$U$33*'TE BF'!$U$48</f>
        <v>0</v>
      </c>
      <c r="V33" s="26">
        <f>'TE BE'!$V$33*'TE BF'!$V$48</f>
        <v>0</v>
      </c>
      <c r="W33" s="26">
        <f>SUM($T$33:$V$33)</f>
        <v>0</v>
      </c>
      <c r="X33" s="26">
        <f>'TE BE'!$AB$33*'TE BF'!$X$48</f>
        <v>0</v>
      </c>
      <c r="Y33" s="26">
        <f>SUM($X$33:$X$33)</f>
        <v>0</v>
      </c>
      <c r="Z33" s="26">
        <f>'TE BE'!$Z$33*'TE BF'!$Z$48</f>
        <v>0</v>
      </c>
      <c r="AA33" s="26">
        <f>SUM($Z$33:$Z$33)</f>
        <v>0</v>
      </c>
      <c r="AB33" s="26">
        <f>SUMIF($L$4:$AA$4,"SUBTOTAL",$L$33:$AA$33)</f>
        <v>0</v>
      </c>
    </row>
    <row r="34" spans="1:28" ht="11.25" customHeight="1" x14ac:dyDescent="0.25">
      <c r="A34" s="114"/>
      <c r="B34" s="114"/>
      <c r="C34" s="114"/>
      <c r="D34" s="28" t="s">
        <v>80</v>
      </c>
      <c r="E34" s="28" t="s">
        <v>25</v>
      </c>
      <c r="F34" s="28" t="s">
        <v>25</v>
      </c>
      <c r="G34" s="29" t="s">
        <v>67</v>
      </c>
      <c r="H34" s="29" t="s">
        <v>60</v>
      </c>
      <c r="I34" s="29">
        <f>'MERCADO TE'!$U$31</f>
        <v>0</v>
      </c>
      <c r="J34" s="15"/>
      <c r="L34" s="26">
        <f>'TE BE'!$L$34*'TE BF'!$L$48</f>
        <v>0</v>
      </c>
      <c r="M34" s="26">
        <f>'TE BE'!$M$34*'TE BF'!$M$48</f>
        <v>0</v>
      </c>
      <c r="N34" s="26">
        <f>'TE BE'!$N$34*'TE BF'!$N$48</f>
        <v>0</v>
      </c>
      <c r="O34" s="26">
        <f>'TE BE'!$O$34*'TE BF'!$O$48</f>
        <v>0</v>
      </c>
      <c r="P34" s="26">
        <f>'TE BE'!$P$34*'TE BF'!$P$48</f>
        <v>0</v>
      </c>
      <c r="Q34" s="26">
        <f>SUM($L$34:$P$34)</f>
        <v>0</v>
      </c>
      <c r="R34" s="26">
        <f>'TE BE'!$R$34*'TE BF'!$R$48</f>
        <v>0</v>
      </c>
      <c r="S34" s="26">
        <f>SUM($R$34:$R$34)</f>
        <v>0</v>
      </c>
      <c r="T34" s="26">
        <f>'TE BE'!$T$34*'TE BF'!$T$48</f>
        <v>0</v>
      </c>
      <c r="U34" s="26">
        <f>'TE BE'!$U$34*'TE BF'!$U$48</f>
        <v>0</v>
      </c>
      <c r="V34" s="26">
        <f>'TE BE'!$V$34*'TE BF'!$V$48</f>
        <v>0</v>
      </c>
      <c r="W34" s="26">
        <f>SUM($T$34:$V$34)</f>
        <v>0</v>
      </c>
      <c r="X34" s="26">
        <f>'TE BE'!$AB$34*'TE BF'!$X$48</f>
        <v>0</v>
      </c>
      <c r="Y34" s="26">
        <f>SUM($X$34:$X$34)</f>
        <v>0</v>
      </c>
      <c r="Z34" s="26">
        <f>'TE BE'!$Z$34*'TE BF'!$Z$48</f>
        <v>0</v>
      </c>
      <c r="AA34" s="26">
        <f>SUM($Z$34:$Z$34)</f>
        <v>0</v>
      </c>
      <c r="AB34" s="26">
        <f>SUMIF($L$4:$AA$4,"SUBTOTAL",$L$34:$AA$34)</f>
        <v>0</v>
      </c>
    </row>
    <row r="35" spans="1:28" ht="11.25" customHeight="1" x14ac:dyDescent="0.25">
      <c r="A35" s="114" t="s">
        <v>28</v>
      </c>
      <c r="B35" s="114" t="s">
        <v>59</v>
      </c>
      <c r="C35" s="114" t="s">
        <v>25</v>
      </c>
      <c r="D35" s="114" t="s">
        <v>25</v>
      </c>
      <c r="E35" s="114" t="s">
        <v>25</v>
      </c>
      <c r="F35" s="114" t="s">
        <v>25</v>
      </c>
      <c r="G35" s="29" t="s">
        <v>61</v>
      </c>
      <c r="H35" s="29" t="s">
        <v>60</v>
      </c>
      <c r="I35" s="29">
        <f>'MERCADO TE'!$U$32</f>
        <v>0</v>
      </c>
      <c r="J35" s="15"/>
      <c r="L35" s="26">
        <f>'TE BE'!$L$35*'TE BF'!$L$48</f>
        <v>0</v>
      </c>
      <c r="M35" s="26">
        <f>'TE BE'!$M$35*'TE BF'!$M$48</f>
        <v>0</v>
      </c>
      <c r="N35" s="26">
        <f>'TE BE'!$N$35*'TE BF'!$N$48</f>
        <v>0</v>
      </c>
      <c r="O35" s="26">
        <f>'TE BE'!$O$35*'TE BF'!$O$48</f>
        <v>0</v>
      </c>
      <c r="P35" s="26">
        <f>'TE BE'!$P$35*'TE BF'!$P$48</f>
        <v>0</v>
      </c>
      <c r="Q35" s="26">
        <f>SUM($L$35:$P$35)</f>
        <v>0</v>
      </c>
      <c r="R35" s="26">
        <f>'TE BE'!$R$35*'TE BF'!$R$48</f>
        <v>0</v>
      </c>
      <c r="S35" s="26">
        <f>SUM($R$35:$R$35)</f>
        <v>0</v>
      </c>
      <c r="T35" s="26">
        <f>'TE BE'!$T$35*'TE BF'!$T$48</f>
        <v>0</v>
      </c>
      <c r="U35" s="26">
        <f>'TE BE'!$U$35*'TE BF'!$U$48</f>
        <v>0</v>
      </c>
      <c r="V35" s="26">
        <f>'TE BE'!$V$35*'TE BF'!$V$48</f>
        <v>0</v>
      </c>
      <c r="W35" s="26">
        <f>SUM($T$35:$V$35)</f>
        <v>0</v>
      </c>
      <c r="X35" s="26">
        <f>'TE BE'!$AB$35*'TE BF'!$X$48</f>
        <v>0</v>
      </c>
      <c r="Y35" s="26">
        <f>SUM($X$35:$X$35)</f>
        <v>0</v>
      </c>
      <c r="Z35" s="26">
        <f>'TE BE'!$Z$35*'TE BF'!$Z$48</f>
        <v>0</v>
      </c>
      <c r="AA35" s="26">
        <f>SUM($Z$35:$Z$35)</f>
        <v>0</v>
      </c>
      <c r="AB35" s="26">
        <f>SUMIF($L$4:$AA$4,"SUBTOTAL",$L$35:$AA$35)</f>
        <v>0</v>
      </c>
    </row>
    <row r="36" spans="1:28" ht="11.25" customHeight="1" x14ac:dyDescent="0.25">
      <c r="A36" s="114"/>
      <c r="B36" s="114"/>
      <c r="C36" s="114"/>
      <c r="D36" s="114"/>
      <c r="E36" s="114"/>
      <c r="F36" s="114"/>
      <c r="G36" s="29" t="s">
        <v>74</v>
      </c>
      <c r="H36" s="29" t="s">
        <v>60</v>
      </c>
      <c r="I36" s="29">
        <f>'MERCADO TE'!$U$33</f>
        <v>0</v>
      </c>
      <c r="J36" s="15"/>
      <c r="L36" s="26">
        <f>'TE BE'!$L$36*'TE BF'!$L$48</f>
        <v>0</v>
      </c>
      <c r="M36" s="26">
        <f>'TE BE'!$M$36*'TE BF'!$M$48</f>
        <v>0</v>
      </c>
      <c r="N36" s="26">
        <f>'TE BE'!$N$36*'TE BF'!$N$48</f>
        <v>0</v>
      </c>
      <c r="O36" s="26">
        <f>'TE BE'!$O$36*'TE BF'!$O$48</f>
        <v>0</v>
      </c>
      <c r="P36" s="26">
        <f>'TE BE'!$P$36*'TE BF'!$P$48</f>
        <v>0</v>
      </c>
      <c r="Q36" s="26">
        <f>SUM($L$36:$P$36)</f>
        <v>0</v>
      </c>
      <c r="R36" s="26">
        <f>'TE BE'!$R$36*'TE BF'!$R$48</f>
        <v>0</v>
      </c>
      <c r="S36" s="26">
        <f>SUM($R$36:$R$36)</f>
        <v>0</v>
      </c>
      <c r="T36" s="26">
        <f>'TE BE'!$T$36*'TE BF'!$T$48</f>
        <v>0</v>
      </c>
      <c r="U36" s="26">
        <f>'TE BE'!$U$36*'TE BF'!$U$48</f>
        <v>0</v>
      </c>
      <c r="V36" s="26">
        <f>'TE BE'!$V$36*'TE BF'!$V$48</f>
        <v>0</v>
      </c>
      <c r="W36" s="26">
        <f>SUM($T$36:$V$36)</f>
        <v>0</v>
      </c>
      <c r="X36" s="26">
        <f>'TE BE'!$AB$36*'TE BF'!$X$48</f>
        <v>0</v>
      </c>
      <c r="Y36" s="26">
        <f>SUM($X$36:$X$36)</f>
        <v>0</v>
      </c>
      <c r="Z36" s="26">
        <f>'TE BE'!$Z$36*'TE BF'!$Z$48</f>
        <v>0</v>
      </c>
      <c r="AA36" s="26">
        <f>SUM($Z$36:$Z$36)</f>
        <v>0</v>
      </c>
      <c r="AB36" s="26">
        <f>SUMIF($L$4:$AA$4,"SUBTOTAL",$L$36:$AA$36)</f>
        <v>0</v>
      </c>
    </row>
    <row r="37" spans="1:28" ht="11.25" customHeight="1" x14ac:dyDescent="0.25">
      <c r="A37" s="114"/>
      <c r="B37" s="114"/>
      <c r="C37" s="114"/>
      <c r="D37" s="114"/>
      <c r="E37" s="114"/>
      <c r="F37" s="114"/>
      <c r="G37" s="29" t="s">
        <v>62</v>
      </c>
      <c r="H37" s="29" t="s">
        <v>60</v>
      </c>
      <c r="I37" s="29">
        <f>'MERCADO TE'!$U$34</f>
        <v>0</v>
      </c>
      <c r="J37" s="15"/>
      <c r="L37" s="26">
        <f>'TE BE'!$L$37*'TE BF'!$L$48</f>
        <v>0</v>
      </c>
      <c r="M37" s="26">
        <f>'TE BE'!$M$37*'TE BF'!$M$48</f>
        <v>0</v>
      </c>
      <c r="N37" s="26">
        <f>'TE BE'!$N$37*'TE BF'!$N$48</f>
        <v>0</v>
      </c>
      <c r="O37" s="26">
        <f>'TE BE'!$O$37*'TE BF'!$O$48</f>
        <v>0</v>
      </c>
      <c r="P37" s="26">
        <f>'TE BE'!$P$37*'TE BF'!$P$48</f>
        <v>0</v>
      </c>
      <c r="Q37" s="26">
        <f>SUM($L$37:$P$37)</f>
        <v>0</v>
      </c>
      <c r="R37" s="26">
        <f>'TE BE'!$R$37*'TE BF'!$R$48</f>
        <v>0</v>
      </c>
      <c r="S37" s="26">
        <f>SUM($R$37:$R$37)</f>
        <v>0</v>
      </c>
      <c r="T37" s="26">
        <f>'TE BE'!$T$37*'TE BF'!$T$48</f>
        <v>0</v>
      </c>
      <c r="U37" s="26">
        <f>'TE BE'!$U$37*'TE BF'!$U$48</f>
        <v>0</v>
      </c>
      <c r="V37" s="26">
        <f>'TE BE'!$V$37*'TE BF'!$V$48</f>
        <v>0</v>
      </c>
      <c r="W37" s="26">
        <f>SUM($T$37:$V$37)</f>
        <v>0</v>
      </c>
      <c r="X37" s="26">
        <f>'TE BE'!$AB$37*'TE BF'!$X$48</f>
        <v>0</v>
      </c>
      <c r="Y37" s="26">
        <f>SUM($X$37:$X$37)</f>
        <v>0</v>
      </c>
      <c r="Z37" s="26">
        <f>'TE BE'!$Z$37*'TE BF'!$Z$48</f>
        <v>0</v>
      </c>
      <c r="AA37" s="26">
        <f>SUM($Z$37:$Z$37)</f>
        <v>0</v>
      </c>
      <c r="AB37" s="26">
        <f>SUMIF($L$4:$AA$4,"SUBTOTAL",$L$37:$AA$37)</f>
        <v>0</v>
      </c>
    </row>
    <row r="38" spans="1:28" ht="11.25" customHeight="1" x14ac:dyDescent="0.25">
      <c r="A38" s="114"/>
      <c r="B38" s="28" t="s">
        <v>75</v>
      </c>
      <c r="C38" s="28" t="s">
        <v>25</v>
      </c>
      <c r="D38" s="28" t="s">
        <v>25</v>
      </c>
      <c r="E38" s="28" t="s">
        <v>25</v>
      </c>
      <c r="F38" s="28" t="s">
        <v>25</v>
      </c>
      <c r="G38" s="29" t="s">
        <v>67</v>
      </c>
      <c r="H38" s="29" t="s">
        <v>60</v>
      </c>
      <c r="I38" s="29">
        <f>'MERCADO TE'!$U$35</f>
        <v>3301.431</v>
      </c>
      <c r="J38" s="15"/>
      <c r="L38" s="26">
        <f>'TE BE'!$L$38*'TE BF'!$L$48</f>
        <v>0</v>
      </c>
      <c r="M38" s="26">
        <f>'TE BE'!$M$38*'TE BF'!$M$48</f>
        <v>0</v>
      </c>
      <c r="N38" s="26">
        <f>'TE BE'!$N$38*'TE BF'!$N$48</f>
        <v>0</v>
      </c>
      <c r="O38" s="26">
        <f>'TE BE'!$O$38*'TE BF'!$O$48</f>
        <v>0</v>
      </c>
      <c r="P38" s="26">
        <f>'TE BE'!$P$38*'TE BF'!$P$48</f>
        <v>0</v>
      </c>
      <c r="Q38" s="26">
        <f>SUM($L$38:$P$38)</f>
        <v>0</v>
      </c>
      <c r="R38" s="26">
        <f>'TE BE'!$R$38*'TE BF'!$R$48</f>
        <v>0</v>
      </c>
      <c r="S38" s="26">
        <f>SUM($R$38:$R$38)</f>
        <v>0</v>
      </c>
      <c r="T38" s="26">
        <f>'TE BE'!$T$38*'TE BF'!$T$48</f>
        <v>0</v>
      </c>
      <c r="U38" s="26">
        <f>'TE BE'!$U$38*'TE BF'!$U$48</f>
        <v>0</v>
      </c>
      <c r="V38" s="26">
        <f>'TE BE'!$V$38*'TE BF'!$V$48</f>
        <v>0</v>
      </c>
      <c r="W38" s="26">
        <f>SUM($T$38:$V$38)</f>
        <v>0</v>
      </c>
      <c r="X38" s="26">
        <f>'TE BE'!$AB$38*'TE BF'!$X$48</f>
        <v>0</v>
      </c>
      <c r="Y38" s="26">
        <f>SUM($X$38:$X$38)</f>
        <v>0</v>
      </c>
      <c r="Z38" s="26">
        <f>'TE BE'!$Z$38*'TE BF'!$Z$48</f>
        <v>0</v>
      </c>
      <c r="AA38" s="26">
        <f>SUM($Z$38:$Z$38)</f>
        <v>0</v>
      </c>
      <c r="AB38" s="26">
        <f>SUMIF($L$4:$AA$4,"SUBTOTAL",$L$38:$AA$38)</f>
        <v>0</v>
      </c>
    </row>
    <row r="39" spans="1:28" ht="11.25" customHeight="1" x14ac:dyDescent="0.25">
      <c r="A39" s="114"/>
      <c r="B39" s="28" t="s">
        <v>77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67</v>
      </c>
      <c r="H39" s="29" t="s">
        <v>60</v>
      </c>
      <c r="I39" s="29">
        <f>'MERCADO TE'!$U$36</f>
        <v>0</v>
      </c>
      <c r="J39" s="15"/>
      <c r="L39" s="26">
        <f>'TE BE'!$L$39*'TE BF'!$L$48</f>
        <v>0</v>
      </c>
      <c r="M39" s="26">
        <f>'TE BE'!$M$39*'TE BF'!$M$48</f>
        <v>0</v>
      </c>
      <c r="N39" s="26">
        <f>'TE BE'!$N$39*'TE BF'!$N$48</f>
        <v>0</v>
      </c>
      <c r="O39" s="26">
        <f>'TE BE'!$O$39*'TE BF'!$O$48</f>
        <v>0</v>
      </c>
      <c r="P39" s="26">
        <f>'TE BE'!$P$39*'TE BF'!$P$48</f>
        <v>0</v>
      </c>
      <c r="Q39" s="26">
        <f>SUM($L$39:$P$39)</f>
        <v>0</v>
      </c>
      <c r="R39" s="26">
        <f>'TE BE'!$R$39*'TE BF'!$R$48</f>
        <v>0</v>
      </c>
      <c r="S39" s="26">
        <f>SUM($R$39:$R$39)</f>
        <v>0</v>
      </c>
      <c r="T39" s="26">
        <f>'TE BE'!$T$39*'TE BF'!$T$48</f>
        <v>0</v>
      </c>
      <c r="U39" s="26">
        <f>'TE BE'!$U$39*'TE BF'!$U$48</f>
        <v>0</v>
      </c>
      <c r="V39" s="26">
        <f>'TE BE'!$V$39*'TE BF'!$V$48</f>
        <v>0</v>
      </c>
      <c r="W39" s="26">
        <f>SUM($T$39:$V$39)</f>
        <v>0</v>
      </c>
      <c r="X39" s="26">
        <f>'TE BE'!$AB$39*'TE BF'!$X$48</f>
        <v>0</v>
      </c>
      <c r="Y39" s="26">
        <f>SUM($X$39:$X$39)</f>
        <v>0</v>
      </c>
      <c r="Z39" s="26">
        <f>'TE BE'!$Z$39*'TE BF'!$Z$48</f>
        <v>0</v>
      </c>
      <c r="AA39" s="26">
        <f>SUM($Z$39:$Z$39)</f>
        <v>0</v>
      </c>
      <c r="AB39" s="26">
        <f>SUMIF($L$4:$AA$4,"SUBTOTAL",$L$39:$AA$39)</f>
        <v>0</v>
      </c>
    </row>
    <row r="40" spans="1:28" ht="11.25" customHeight="1" x14ac:dyDescent="0.25">
      <c r="A40" s="114" t="s">
        <v>34</v>
      </c>
      <c r="B40" s="114" t="s">
        <v>75</v>
      </c>
      <c r="C40" s="114" t="s">
        <v>35</v>
      </c>
      <c r="D40" s="28" t="s">
        <v>36</v>
      </c>
      <c r="E40" s="28" t="s">
        <v>25</v>
      </c>
      <c r="F40" s="28" t="s">
        <v>25</v>
      </c>
      <c r="G40" s="29" t="s">
        <v>67</v>
      </c>
      <c r="H40" s="29" t="s">
        <v>60</v>
      </c>
      <c r="I40" s="29">
        <f>'MERCADO TE'!$U$37</f>
        <v>274.32500000000005</v>
      </c>
      <c r="J40" s="15"/>
      <c r="L40" s="26">
        <f>'TE BE'!$L$40*'TE BF'!$L$48</f>
        <v>0</v>
      </c>
      <c r="M40" s="26">
        <f>'TE BE'!$M$40*'TE BF'!$M$48</f>
        <v>0</v>
      </c>
      <c r="N40" s="26">
        <f>'TE BE'!$N$40*'TE BF'!$N$48</f>
        <v>0</v>
      </c>
      <c r="O40" s="26">
        <f>'TE BE'!$O$40*'TE BF'!$O$48</f>
        <v>0</v>
      </c>
      <c r="P40" s="26">
        <f>'TE BE'!$P$40*'TE BF'!$P$48</f>
        <v>0</v>
      </c>
      <c r="Q40" s="26">
        <f>SUM($L$40:$P$40)</f>
        <v>0</v>
      </c>
      <c r="R40" s="26">
        <f>'TE BE'!$R$40*'TE BF'!$R$48</f>
        <v>0</v>
      </c>
      <c r="S40" s="26">
        <f>SUM($R$40:$R$40)</f>
        <v>0</v>
      </c>
      <c r="T40" s="26">
        <f>'TE BE'!$T$40*'TE BF'!$T$48</f>
        <v>0</v>
      </c>
      <c r="U40" s="26">
        <f>'TE BE'!$U$40*'TE BF'!$U$48</f>
        <v>0</v>
      </c>
      <c r="V40" s="26">
        <f>'TE BE'!$V$40*'TE BF'!$V$48</f>
        <v>0</v>
      </c>
      <c r="W40" s="26">
        <f>SUM($T$40:$V$40)</f>
        <v>0</v>
      </c>
      <c r="X40" s="26">
        <f>'TE BE'!$AB$40*'TE BF'!$X$48</f>
        <v>0</v>
      </c>
      <c r="Y40" s="26">
        <f>SUM($X$40:$X$40)</f>
        <v>0</v>
      </c>
      <c r="Z40" s="26">
        <f>'TE BE'!$Z$40*'TE BF'!$Z$48</f>
        <v>0</v>
      </c>
      <c r="AA40" s="26">
        <f>SUM($Z$40:$Z$40)</f>
        <v>0</v>
      </c>
      <c r="AB40" s="26">
        <f>SUMIF($L$4:$AA$4,"SUBTOTAL",$L$40:$AA$40)</f>
        <v>0</v>
      </c>
    </row>
    <row r="41" spans="1:28" ht="11.25" customHeight="1" x14ac:dyDescent="0.25">
      <c r="A41" s="114"/>
      <c r="B41" s="114"/>
      <c r="C41" s="114"/>
      <c r="D41" s="29" t="s">
        <v>81</v>
      </c>
      <c r="E41" s="29" t="s">
        <v>25</v>
      </c>
      <c r="F41" s="29" t="s">
        <v>25</v>
      </c>
      <c r="G41" s="29" t="s">
        <v>67</v>
      </c>
      <c r="H41" s="29" t="s">
        <v>60</v>
      </c>
      <c r="I41" s="29">
        <f>'MERCADO TE'!$U$38</f>
        <v>0</v>
      </c>
      <c r="J41" s="15"/>
      <c r="L41" s="26">
        <f>'TE BE'!$L$41*'TE BF'!$L$48</f>
        <v>0</v>
      </c>
      <c r="M41" s="26">
        <f>'TE BE'!$M$41*'TE BF'!$M$48</f>
        <v>0</v>
      </c>
      <c r="N41" s="26">
        <f>'TE BE'!$N$41*'TE BF'!$N$48</f>
        <v>0</v>
      </c>
      <c r="O41" s="26">
        <f>'TE BE'!$O$41*'TE BF'!$O$48</f>
        <v>0</v>
      </c>
      <c r="P41" s="26">
        <f>'TE BE'!$P$41*'TE BF'!$P$48</f>
        <v>0</v>
      </c>
      <c r="Q41" s="26">
        <f>SUM($L$41:$P$41)</f>
        <v>0</v>
      </c>
      <c r="R41" s="26">
        <f>'TE BE'!$R$41*'TE BF'!$R$48</f>
        <v>0</v>
      </c>
      <c r="S41" s="26">
        <f>SUM($R$41:$R$41)</f>
        <v>0</v>
      </c>
      <c r="T41" s="26">
        <f>'TE BE'!$T$41*'TE BF'!$T$48</f>
        <v>0</v>
      </c>
      <c r="U41" s="26">
        <f>'TE BE'!$U$41*'TE BF'!$U$48</f>
        <v>0</v>
      </c>
      <c r="V41" s="26">
        <f>'TE BE'!$V$41*'TE BF'!$V$48</f>
        <v>0</v>
      </c>
      <c r="W41" s="26">
        <f>SUM($T$41:$V$41)</f>
        <v>0</v>
      </c>
      <c r="X41" s="26">
        <f>'TE BE'!$AB$41*'TE BF'!$X$48</f>
        <v>0</v>
      </c>
      <c r="Y41" s="26">
        <f>SUM($X$41:$X$41)</f>
        <v>0</v>
      </c>
      <c r="Z41" s="26">
        <f>'TE BE'!$Z$41*'TE BF'!$Z$48</f>
        <v>0</v>
      </c>
      <c r="AA41" s="26">
        <f>SUM($Z$41:$Z$41)</f>
        <v>0</v>
      </c>
      <c r="AB41" s="26">
        <f>SUMIF($L$4:$AA$4,"SUBTOTAL",$L$41:$AA$41)</f>
        <v>0</v>
      </c>
    </row>
    <row r="43" spans="1:28" ht="11.25" customHeight="1" x14ac:dyDescent="0.25">
      <c r="K43" s="31" t="s">
        <v>387</v>
      </c>
      <c r="L43" s="26">
        <f t="shared" ref="L43:AB43" si="0">SUMPRODUCT($I$5:$I$41,L$5:L$41)</f>
        <v>0</v>
      </c>
      <c r="M43" s="26">
        <f t="shared" si="0"/>
        <v>0</v>
      </c>
      <c r="N43" s="26">
        <f t="shared" si="0"/>
        <v>0</v>
      </c>
      <c r="O43" s="26">
        <f t="shared" si="0"/>
        <v>0</v>
      </c>
      <c r="P43" s="26">
        <f t="shared" si="0"/>
        <v>0</v>
      </c>
      <c r="Q43" s="26">
        <f t="shared" si="0"/>
        <v>0</v>
      </c>
      <c r="R43" s="26">
        <f t="shared" si="0"/>
        <v>0</v>
      </c>
      <c r="S43" s="26">
        <f t="shared" si="0"/>
        <v>0</v>
      </c>
      <c r="T43" s="26">
        <f t="shared" si="0"/>
        <v>0</v>
      </c>
      <c r="U43" s="26">
        <f t="shared" si="0"/>
        <v>0</v>
      </c>
      <c r="V43" s="26">
        <f t="shared" si="0"/>
        <v>0</v>
      </c>
      <c r="W43" s="26">
        <f t="shared" si="0"/>
        <v>0</v>
      </c>
      <c r="X43" s="26">
        <f t="shared" si="0"/>
        <v>0</v>
      </c>
      <c r="Y43" s="26">
        <f t="shared" si="0"/>
        <v>0</v>
      </c>
      <c r="Z43" s="26">
        <f t="shared" si="0"/>
        <v>0</v>
      </c>
      <c r="AA43" s="26">
        <f t="shared" si="0"/>
        <v>0</v>
      </c>
      <c r="AB43" s="26">
        <f t="shared" si="0"/>
        <v>0</v>
      </c>
    </row>
    <row r="44" spans="1:28" ht="11.25" customHeight="1" x14ac:dyDescent="0.25">
      <c r="K44" s="31" t="s">
        <v>305</v>
      </c>
      <c r="L44" s="26">
        <f>CUSTOS!$D$30</f>
        <v>0</v>
      </c>
      <c r="M44" s="26">
        <f>CUSTOS!$D$31</f>
        <v>0</v>
      </c>
      <c r="N44" s="26">
        <f>CUSTOS!$D$32</f>
        <v>0</v>
      </c>
      <c r="O44" s="26">
        <f>CUSTOS!$D$33</f>
        <v>0</v>
      </c>
      <c r="P44" s="26">
        <f>CUSTOS!$D$34</f>
        <v>0</v>
      </c>
      <c r="Q44" s="26">
        <f>CUSTOS!$D$35</f>
        <v>0</v>
      </c>
      <c r="R44" s="26">
        <f>CUSTOS!$D$36</f>
        <v>2671968.4028430749</v>
      </c>
      <c r="S44" s="26">
        <f>CUSTOS!$D$37</f>
        <v>2671968.4028430749</v>
      </c>
      <c r="T44" s="26">
        <f>CUSTOS!$D$38</f>
        <v>0</v>
      </c>
      <c r="U44" s="26">
        <f>CUSTOS!$D$39</f>
        <v>0</v>
      </c>
      <c r="V44" s="26">
        <f>CUSTOS!$D$40</f>
        <v>0</v>
      </c>
      <c r="W44" s="26">
        <f>CUSTOS!$D$41</f>
        <v>0</v>
      </c>
      <c r="X44" s="26">
        <f>CUSTOS!$D$42</f>
        <v>0</v>
      </c>
      <c r="Y44" s="26">
        <f>CUSTOS!$D$43</f>
        <v>0</v>
      </c>
      <c r="Z44" s="26">
        <f>CUSTOS!$D$44</f>
        <v>0</v>
      </c>
      <c r="AA44" s="26">
        <f>CUSTOS!$D$45</f>
        <v>0</v>
      </c>
      <c r="AB44" s="26">
        <f>CUSTOS!$D$46</f>
        <v>2671968.4028430749</v>
      </c>
    </row>
    <row r="45" spans="1:28" ht="11.25" customHeight="1" x14ac:dyDescent="0.25">
      <c r="K45" s="31" t="s">
        <v>306</v>
      </c>
      <c r="L45" s="26">
        <f>CUSTOS!$E$30</f>
        <v>0</v>
      </c>
      <c r="M45" s="26">
        <f>CUSTOS!$E$31</f>
        <v>0</v>
      </c>
      <c r="N45" s="26">
        <f>CUSTOS!$E$32</f>
        <v>0</v>
      </c>
      <c r="O45" s="26">
        <f>CUSTOS!$E$33</f>
        <v>0</v>
      </c>
      <c r="P45" s="26">
        <f>CUSTOS!$E$34</f>
        <v>0</v>
      </c>
      <c r="Q45" s="26">
        <f>CUSTOS!$E$35</f>
        <v>0</v>
      </c>
      <c r="R45" s="26">
        <f>CUSTOS!$E$36</f>
        <v>-125900.21720948769</v>
      </c>
      <c r="S45" s="26">
        <f>CUSTOS!$E$37</f>
        <v>-125900.21720948769</v>
      </c>
      <c r="T45" s="26">
        <f>CUSTOS!$E$38</f>
        <v>0</v>
      </c>
      <c r="U45" s="26">
        <f>CUSTOS!$E$39</f>
        <v>0</v>
      </c>
      <c r="V45" s="26">
        <f>CUSTOS!$E$40</f>
        <v>0</v>
      </c>
      <c r="W45" s="26">
        <f>CUSTOS!$E$41</f>
        <v>0</v>
      </c>
      <c r="X45" s="26">
        <f>CUSTOS!$E$42</f>
        <v>0</v>
      </c>
      <c r="Y45" s="26">
        <f>CUSTOS!$E$43</f>
        <v>0</v>
      </c>
      <c r="Z45" s="26">
        <f>CUSTOS!$E$44</f>
        <v>0</v>
      </c>
      <c r="AA45" s="26">
        <f>CUSTOS!$E$45</f>
        <v>0</v>
      </c>
      <c r="AB45" s="26">
        <f>CUSTOS!$E$46</f>
        <v>-125900.21720948769</v>
      </c>
    </row>
    <row r="46" spans="1:28" ht="11.25" customHeight="1" x14ac:dyDescent="0.25">
      <c r="K46" s="31" t="s">
        <v>307</v>
      </c>
      <c r="L46" s="26">
        <f>CUSTOS!$F$30</f>
        <v>0</v>
      </c>
      <c r="M46" s="26">
        <f>CUSTOS!$F$31</f>
        <v>0</v>
      </c>
      <c r="N46" s="26">
        <f>CUSTOS!$F$32</f>
        <v>0</v>
      </c>
      <c r="O46" s="26">
        <f>CUSTOS!$F$33</f>
        <v>0</v>
      </c>
      <c r="P46" s="26">
        <f>CUSTOS!$F$34</f>
        <v>0</v>
      </c>
      <c r="Q46" s="26">
        <f>CUSTOS!$F$35</f>
        <v>0</v>
      </c>
      <c r="R46" s="26">
        <f>CUSTOS!$F$36</f>
        <v>0</v>
      </c>
      <c r="S46" s="26">
        <f>CUSTOS!$F$37</f>
        <v>0</v>
      </c>
      <c r="T46" s="26">
        <f>CUSTOS!$F$38</f>
        <v>0</v>
      </c>
      <c r="U46" s="26">
        <f>CUSTOS!$F$39</f>
        <v>0</v>
      </c>
      <c r="V46" s="26">
        <f>CUSTOS!$F$40</f>
        <v>0</v>
      </c>
      <c r="W46" s="26">
        <f>CUSTOS!$F$41</f>
        <v>0</v>
      </c>
      <c r="X46" s="26">
        <f>CUSTOS!$F$42</f>
        <v>0</v>
      </c>
      <c r="Y46" s="26">
        <f>CUSTOS!$F$43</f>
        <v>0</v>
      </c>
      <c r="Z46" s="26">
        <f>CUSTOS!$F$44</f>
        <v>0</v>
      </c>
      <c r="AA46" s="26">
        <f>CUSTOS!$F$45</f>
        <v>0</v>
      </c>
      <c r="AB46" s="26">
        <f>CUSTOS!$F$46</f>
        <v>0</v>
      </c>
    </row>
    <row r="47" spans="1:28" ht="11.25" customHeight="1" x14ac:dyDescent="0.25"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1.25" customHeight="1" x14ac:dyDescent="0.25"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1:28" ht="11.25" customHeight="1" x14ac:dyDescent="0.25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</sheetData>
  <mergeCells count="61">
    <mergeCell ref="T3:W3"/>
    <mergeCell ref="X3:Y3"/>
    <mergeCell ref="A1:A4"/>
    <mergeCell ref="B1:B4"/>
    <mergeCell ref="C1:C4"/>
    <mergeCell ref="D1:D4"/>
    <mergeCell ref="E1:E4"/>
    <mergeCell ref="F1:F4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F7:F9"/>
    <mergeCell ref="B10:B14"/>
    <mergeCell ref="C10:C14"/>
    <mergeCell ref="B15:B19"/>
    <mergeCell ref="C15:C19"/>
    <mergeCell ref="A7:A19"/>
    <mergeCell ref="B7:B9"/>
    <mergeCell ref="C7:C9"/>
    <mergeCell ref="D7:D9"/>
    <mergeCell ref="E7:E9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E35:E37"/>
    <mergeCell ref="F35:F37"/>
    <mergeCell ref="A40:A41"/>
    <mergeCell ref="B40:B41"/>
    <mergeCell ref="C40:C41"/>
    <mergeCell ref="D35:D37"/>
  </mergeCells>
  <conditionalFormatting sqref="L43">
    <cfRule type="cellIs" dxfId="486" priority="33" operator="notEqual">
      <formula>$L$46</formula>
    </cfRule>
    <cfRule type="cellIs" dxfId="485" priority="34" operator="equal">
      <formula>$L$46</formula>
    </cfRule>
  </conditionalFormatting>
  <conditionalFormatting sqref="M43">
    <cfRule type="cellIs" dxfId="484" priority="31" operator="notEqual">
      <formula>$M$46</formula>
    </cfRule>
    <cfRule type="cellIs" dxfId="483" priority="32" operator="equal">
      <formula>$M$46</formula>
    </cfRule>
  </conditionalFormatting>
  <conditionalFormatting sqref="N43">
    <cfRule type="cellIs" dxfId="482" priority="29" operator="notEqual">
      <formula>$N$46</formula>
    </cfRule>
    <cfRule type="cellIs" dxfId="481" priority="30" operator="equal">
      <formula>$N$46</formula>
    </cfRule>
  </conditionalFormatting>
  <conditionalFormatting sqref="O43">
    <cfRule type="cellIs" dxfId="480" priority="27" operator="notEqual">
      <formula>$O$46</formula>
    </cfRule>
    <cfRule type="cellIs" dxfId="479" priority="28" operator="equal">
      <formula>$O$46</formula>
    </cfRule>
  </conditionalFormatting>
  <conditionalFormatting sqref="P43">
    <cfRule type="cellIs" dxfId="478" priority="25" operator="notEqual">
      <formula>$P$46</formula>
    </cfRule>
    <cfRule type="cellIs" dxfId="477" priority="26" operator="equal">
      <formula>$P$46</formula>
    </cfRule>
  </conditionalFormatting>
  <conditionalFormatting sqref="Q43">
    <cfRule type="cellIs" dxfId="476" priority="23" operator="notEqual">
      <formula>$Q$46</formula>
    </cfRule>
    <cfRule type="cellIs" dxfId="475" priority="24" operator="equal">
      <formula>$Q$46</formula>
    </cfRule>
  </conditionalFormatting>
  <conditionalFormatting sqref="R43">
    <cfRule type="cellIs" dxfId="474" priority="21" operator="notEqual">
      <formula>$R$46</formula>
    </cfRule>
    <cfRule type="cellIs" dxfId="473" priority="22" operator="equal">
      <formula>$R$46</formula>
    </cfRule>
  </conditionalFormatting>
  <conditionalFormatting sqref="S43">
    <cfRule type="cellIs" dxfId="472" priority="19" operator="notEqual">
      <formula>$S$46</formula>
    </cfRule>
    <cfRule type="cellIs" dxfId="471" priority="20" operator="equal">
      <formula>$S$46</formula>
    </cfRule>
  </conditionalFormatting>
  <conditionalFormatting sqref="T43">
    <cfRule type="cellIs" dxfId="470" priority="17" operator="notEqual">
      <formula>$T$46</formula>
    </cfRule>
    <cfRule type="cellIs" dxfId="469" priority="18" operator="equal">
      <formula>$T$46</formula>
    </cfRule>
  </conditionalFormatting>
  <conditionalFormatting sqref="U43">
    <cfRule type="cellIs" dxfId="468" priority="15" operator="notEqual">
      <formula>$U$46</formula>
    </cfRule>
    <cfRule type="cellIs" dxfId="467" priority="16" operator="equal">
      <formula>$U$46</formula>
    </cfRule>
  </conditionalFormatting>
  <conditionalFormatting sqref="V43">
    <cfRule type="cellIs" dxfId="466" priority="13" operator="notEqual">
      <formula>$V$46</formula>
    </cfRule>
    <cfRule type="cellIs" dxfId="465" priority="14" operator="equal">
      <formula>$V$46</formula>
    </cfRule>
  </conditionalFormatting>
  <conditionalFormatting sqref="W43">
    <cfRule type="cellIs" dxfId="464" priority="11" operator="notEqual">
      <formula>$W$46</formula>
    </cfRule>
    <cfRule type="cellIs" dxfId="463" priority="12" operator="equal">
      <formula>$W$46</formula>
    </cfRule>
  </conditionalFormatting>
  <conditionalFormatting sqref="X43">
    <cfRule type="cellIs" dxfId="462" priority="9" operator="notEqual">
      <formula>$X$46</formula>
    </cfRule>
    <cfRule type="cellIs" dxfId="461" priority="10" operator="equal">
      <formula>$X$46</formula>
    </cfRule>
  </conditionalFormatting>
  <conditionalFormatting sqref="Y43">
    <cfRule type="cellIs" dxfId="460" priority="7" operator="notEqual">
      <formula>$Y$46</formula>
    </cfRule>
    <cfRule type="cellIs" dxfId="459" priority="8" operator="equal">
      <formula>$Y$46</formula>
    </cfRule>
  </conditionalFormatting>
  <conditionalFormatting sqref="Z43">
    <cfRule type="cellIs" dxfId="458" priority="5" operator="notEqual">
      <formula>$Z$46</formula>
    </cfRule>
    <cfRule type="cellIs" dxfId="457" priority="6" operator="equal">
      <formula>$Z$46</formula>
    </cfRule>
  </conditionalFormatting>
  <conditionalFormatting sqref="AA43">
    <cfRule type="cellIs" dxfId="456" priority="3" operator="notEqual">
      <formula>$AA$46</formula>
    </cfRule>
    <cfRule type="cellIs" dxfId="455" priority="4" operator="equal">
      <formula>$AA$46</formula>
    </cfRule>
  </conditionalFormatting>
  <conditionalFormatting sqref="AB43">
    <cfRule type="cellIs" dxfId="454" priority="1" operator="notEqual">
      <formula>$AB$46</formula>
    </cfRule>
    <cfRule type="cellIs" dxfId="453" priority="2" operator="equal">
      <formula>$AB$46</formula>
    </cfRule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D9B1-BD51-4F1B-9953-B94CF6D15137}">
  <sheetPr codeName="Planilha16"/>
  <dimension ref="A1:AV174"/>
  <sheetViews>
    <sheetView showGridLines="0" topLeftCell="AG1" workbookViewId="0">
      <selection activeCell="AQ18" sqref="AQ18"/>
    </sheetView>
  </sheetViews>
  <sheetFormatPr defaultColWidth="9.140625" defaultRowHeight="11.25" customHeight="1" x14ac:dyDescent="0.25"/>
  <cols>
    <col min="1" max="1" width="19.140625" style="4" bestFit="1" customWidth="1"/>
    <col min="2" max="2" width="13.28515625" style="4" bestFit="1" customWidth="1"/>
    <col min="3" max="3" width="14.5703125" style="4" bestFit="1" customWidth="1"/>
    <col min="4" max="4" width="13.5703125" style="4" bestFit="1" customWidth="1"/>
    <col min="5" max="5" width="25.140625" style="4" bestFit="1" customWidth="1"/>
    <col min="6" max="6" width="11.42578125" style="4" bestFit="1" customWidth="1"/>
    <col min="7" max="7" width="11.28515625" style="4" bestFit="1" customWidth="1"/>
    <col min="8" max="8" width="10.28515625" style="4" bestFit="1" customWidth="1"/>
    <col min="9" max="9" width="12.140625" style="5" bestFit="1" customWidth="1"/>
    <col min="10" max="10" width="6.5703125" style="6" bestFit="1" customWidth="1"/>
    <col min="11" max="11" width="7.85546875" style="6" bestFit="1" customWidth="1"/>
    <col min="12" max="12" width="11.28515625" style="6" bestFit="1" customWidth="1"/>
    <col min="13" max="13" width="12.5703125" style="6" bestFit="1" customWidth="1"/>
    <col min="14" max="14" width="9.140625" style="6" bestFit="1" customWidth="1"/>
    <col min="15" max="15" width="10.42578125" style="6" bestFit="1" customWidth="1"/>
    <col min="16" max="16" width="7.7109375" style="6" bestFit="1" customWidth="1"/>
    <col min="17" max="17" width="11.140625" style="4" bestFit="1" customWidth="1"/>
    <col min="18" max="18" width="13.140625" style="4" bestFit="1" customWidth="1"/>
    <col min="19" max="19" width="23" style="4" bestFit="1" customWidth="1"/>
    <col min="20" max="20" width="24.42578125" style="4" bestFit="1" customWidth="1"/>
    <col min="21" max="21" width="22.28515625" style="4" bestFit="1" customWidth="1"/>
    <col min="22" max="22" width="15.85546875" style="4" bestFit="1" customWidth="1"/>
    <col min="23" max="23" width="17.28515625" style="4" bestFit="1" customWidth="1"/>
    <col min="24" max="24" width="15.140625" style="4" bestFit="1" customWidth="1"/>
    <col min="25" max="25" width="20.85546875" style="4" bestFit="1" customWidth="1"/>
    <col min="26" max="26" width="22.42578125" style="4" bestFit="1" customWidth="1"/>
    <col min="27" max="27" width="20.140625" style="4" bestFit="1" customWidth="1"/>
    <col min="28" max="28" width="23.28515625" style="4" bestFit="1" customWidth="1"/>
    <col min="29" max="29" width="24.7109375" style="4" bestFit="1" customWidth="1"/>
    <col min="30" max="30" width="22.5703125" style="4" bestFit="1" customWidth="1"/>
    <col min="31" max="31" width="24.140625" style="4" bestFit="1" customWidth="1"/>
    <col min="32" max="32" width="25.5703125" style="4" bestFit="1" customWidth="1"/>
    <col min="33" max="33" width="23.42578125" style="4" bestFit="1" customWidth="1"/>
    <col min="34" max="34" width="9.140625" style="4"/>
    <col min="35" max="35" width="9.28515625" style="4" bestFit="1" customWidth="1"/>
    <col min="36" max="36" width="14.5703125" style="4" bestFit="1" customWidth="1"/>
    <col min="37" max="37" width="15.42578125" style="4" bestFit="1" customWidth="1"/>
    <col min="38" max="38" width="9.28515625" style="4" bestFit="1" customWidth="1"/>
    <col min="39" max="39" width="9.140625" style="4"/>
    <col min="40" max="40" width="9.28515625" style="4" bestFit="1" customWidth="1"/>
    <col min="41" max="41" width="12.28515625" style="4" bestFit="1" customWidth="1"/>
    <col min="42" max="42" width="13.28515625" style="4" bestFit="1" customWidth="1"/>
    <col min="43" max="43" width="9.28515625" style="4" bestFit="1" customWidth="1"/>
    <col min="44" max="44" width="9.140625" style="4"/>
    <col min="45" max="45" width="9.28515625" style="4" bestFit="1" customWidth="1"/>
    <col min="46" max="46" width="10" style="4" bestFit="1" customWidth="1"/>
    <col min="47" max="47" width="10.42578125" style="4" bestFit="1" customWidth="1"/>
    <col min="48" max="48" width="9.28515625" style="4" bestFit="1" customWidth="1"/>
    <col min="49" max="16384" width="9.140625" style="4"/>
  </cols>
  <sheetData>
    <row r="1" spans="1:48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416</v>
      </c>
      <c r="W1" s="1" t="s">
        <v>417</v>
      </c>
      <c r="X1" s="1" t="s">
        <v>418</v>
      </c>
      <c r="Y1" s="1" t="s">
        <v>419</v>
      </c>
      <c r="Z1" s="1" t="s">
        <v>420</v>
      </c>
      <c r="AA1" s="1" t="s">
        <v>421</v>
      </c>
      <c r="AB1" s="1" t="s">
        <v>434</v>
      </c>
      <c r="AC1" s="1" t="s">
        <v>435</v>
      </c>
      <c r="AD1" s="1" t="s">
        <v>436</v>
      </c>
      <c r="AE1" s="1" t="s">
        <v>437</v>
      </c>
      <c r="AF1" s="1" t="s">
        <v>438</v>
      </c>
      <c r="AG1" s="1" t="s">
        <v>439</v>
      </c>
      <c r="AI1" s="40" t="s">
        <v>49</v>
      </c>
      <c r="AJ1" s="40" t="s">
        <v>440</v>
      </c>
      <c r="AK1" s="40" t="s">
        <v>441</v>
      </c>
      <c r="AL1" s="40" t="s">
        <v>442</v>
      </c>
      <c r="AN1" s="40" t="s">
        <v>49</v>
      </c>
      <c r="AO1" s="40" t="s">
        <v>443</v>
      </c>
      <c r="AP1" s="40" t="s">
        <v>444</v>
      </c>
      <c r="AQ1" s="40" t="s">
        <v>442</v>
      </c>
      <c r="AS1" s="40" t="s">
        <v>49</v>
      </c>
      <c r="AT1" s="40" t="s">
        <v>445</v>
      </c>
      <c r="AU1" s="40" t="s">
        <v>446</v>
      </c>
      <c r="AV1" s="40" t="s">
        <v>442</v>
      </c>
    </row>
    <row r="2" spans="1:48" ht="11.25" customHeight="1" x14ac:dyDescent="0.25">
      <c r="A2" s="4" t="s">
        <v>21</v>
      </c>
      <c r="B2" s="4" t="s">
        <v>22</v>
      </c>
      <c r="C2" s="4" t="s">
        <v>23</v>
      </c>
      <c r="D2" s="4" t="s">
        <v>24</v>
      </c>
      <c r="E2" s="4" t="s">
        <v>24</v>
      </c>
      <c r="F2" s="4" t="s">
        <v>25</v>
      </c>
      <c r="G2" s="4" t="s">
        <v>25</v>
      </c>
      <c r="H2" s="4" t="s">
        <v>25</v>
      </c>
      <c r="I2" s="5">
        <v>44501</v>
      </c>
      <c r="J2" s="6">
        <v>0</v>
      </c>
      <c r="K2" s="6">
        <v>0</v>
      </c>
      <c r="L2" s="6">
        <v>260.51100000000002</v>
      </c>
      <c r="M2" s="6">
        <v>260.51100000000002</v>
      </c>
      <c r="N2" s="6">
        <v>260.51100000000002</v>
      </c>
      <c r="O2" s="6">
        <v>260.51100000000002</v>
      </c>
      <c r="P2" s="6">
        <v>1839</v>
      </c>
      <c r="Q2" s="4" t="s">
        <v>26</v>
      </c>
      <c r="R2" s="4">
        <v>0</v>
      </c>
      <c r="S2" s="6">
        <v>0</v>
      </c>
      <c r="T2" s="6">
        <v>21</v>
      </c>
      <c r="U2" s="6">
        <v>28</v>
      </c>
      <c r="V2" s="6">
        <f>IF(ISERROR(VLOOKUP($S$2,'TAR FIN'!$A$1:$O$73,15,0)),0,VLOOKUP($S$2,'TAR FIN'!$A$1:$O$73,15,0))</f>
        <v>0</v>
      </c>
      <c r="W2" s="6">
        <f>IF(ISERROR(VLOOKUP($T$2,'TAR FIN'!$A$1:$O$73,15,0)),0,VLOOKUP($T$2,'TAR FIN'!$A$1:$O$73,15,0))</f>
        <v>384.85</v>
      </c>
      <c r="X2" s="6">
        <f>IF(ISERROR(VLOOKUP($U$2,'TAR FIN'!$A$1:$O$73,15,0)),0,VLOOKUP($U$2,'TAR FIN'!$A$1:$O$73,15,0))</f>
        <v>248.09</v>
      </c>
      <c r="Y2" s="6"/>
      <c r="Z2" s="6">
        <f ca="1">('TUSD BE'!$AM$20+'TUSD BF'!$AM$20+'TUSD CVA'!$AM$20)*1</f>
        <v>486.0916419076849</v>
      </c>
      <c r="AA2" s="6">
        <f>('TE BE'!$AB$10+'TE BF'!$AB$10+'TE CVA'!$AB$10)*1</f>
        <v>192.10069561515587</v>
      </c>
      <c r="AB2" s="6">
        <f>$K$2*$V$2</f>
        <v>0</v>
      </c>
      <c r="AC2" s="6">
        <f>$M$2*$W$2</f>
        <v>100257.65835000001</v>
      </c>
      <c r="AD2" s="6">
        <f>$O$2*$X$2</f>
        <v>64630.17399000001</v>
      </c>
      <c r="AE2" s="6">
        <f>$K$2*$Y$2</f>
        <v>0</v>
      </c>
      <c r="AF2" s="6">
        <f ca="1">$M$2*$Z$2</f>
        <v>126632.21972501291</v>
      </c>
      <c r="AG2" s="6">
        <f>$O$2*$AA$2</f>
        <v>50044.344315399874</v>
      </c>
      <c r="AI2" s="41" t="s">
        <v>22</v>
      </c>
      <c r="AJ2" s="42">
        <f>SUMIF($B$2:$B$174,AI2,$AB$2:$AB$174)+SUMIF($B$2:$B$174,AI2,$AC$2:$AC$174)</f>
        <v>1375217.0854500004</v>
      </c>
      <c r="AK2" s="42">
        <f ca="1">SUMIF($B$2:$B$174,AI2,$AE$2:$AE$174)+SUMIF($B$2:$B$174,AI2,$AF$2:$AF$174)</f>
        <v>1733932.2878227888</v>
      </c>
      <c r="AL2" s="43">
        <f t="shared" ref="AL2:AL8" ca="1" si="0">IF(AJ2&lt;&gt;0,AK2/AJ2-1,0)</f>
        <v>0.26084260162853434</v>
      </c>
      <c r="AN2" s="41" t="s">
        <v>22</v>
      </c>
      <c r="AO2" s="42">
        <f>SUMIF($B$2:$B$174,AN2,$AD$2:$AD$174)</f>
        <v>895599.33476000035</v>
      </c>
      <c r="AP2" s="42">
        <f>SUMIF($B$2:$B$174,AN2,$AG$2:$AG$174)</f>
        <v>693479.28495540866</v>
      </c>
      <c r="AQ2" s="43">
        <f t="shared" ref="AQ2:AQ8" si="1">IF(AO2&lt;&gt;0,AP2/AO2-1,0)</f>
        <v>-0.22568133088079523</v>
      </c>
      <c r="AS2" s="41" t="s">
        <v>22</v>
      </c>
      <c r="AT2" s="42">
        <f>SUMIF($B$2:$B$174,AS2,$AB$2:$AB$174)+SUMIF($B$2:$B$174,AS2,$AC$2:$AC$174)+SUMIF($B$2:$B$174,AS2,$AD$2:$AD$174)</f>
        <v>2270816.4202100006</v>
      </c>
      <c r="AU2" s="42">
        <f ca="1">SUMIF($B$2:$B$174,AS2,$AE$2:$AE$174)+SUMIF($B$2:$B$174,AS2,$AF$2:$AF$174)+SUMIF($B$2:$B$174,AS2,$AG$2:$AG$174)</f>
        <v>2427411.5727781975</v>
      </c>
      <c r="AV2" s="43">
        <f t="shared" ref="AV2:AV8" ca="1" si="2">IF(AT2&lt;&gt;0,AU2/AT2-1,0)</f>
        <v>6.8959846852664208E-2</v>
      </c>
    </row>
    <row r="3" spans="1:48" ht="11.25" customHeight="1" x14ac:dyDescent="0.25">
      <c r="A3" s="4" t="s">
        <v>27</v>
      </c>
      <c r="B3" s="4" t="s">
        <v>22</v>
      </c>
      <c r="C3" s="4" t="s">
        <v>23</v>
      </c>
      <c r="D3" s="4" t="s">
        <v>24</v>
      </c>
      <c r="E3" s="4" t="s">
        <v>24</v>
      </c>
      <c r="F3" s="4" t="s">
        <v>25</v>
      </c>
      <c r="G3" s="4" t="s">
        <v>25</v>
      </c>
      <c r="H3" s="4" t="s">
        <v>25</v>
      </c>
      <c r="I3" s="5">
        <v>44501</v>
      </c>
      <c r="J3" s="6">
        <v>0</v>
      </c>
      <c r="K3" s="6">
        <v>0</v>
      </c>
      <c r="L3" s="6">
        <v>6.6980000000000004</v>
      </c>
      <c r="M3" s="6">
        <v>6.6980000000000004</v>
      </c>
      <c r="N3" s="6">
        <v>6.6980000000000004</v>
      </c>
      <c r="O3" s="6">
        <v>6.6980000000000004</v>
      </c>
      <c r="P3" s="6">
        <v>25</v>
      </c>
      <c r="Q3" s="4" t="s">
        <v>26</v>
      </c>
      <c r="R3" s="4">
        <v>0</v>
      </c>
      <c r="S3" s="6">
        <v>0</v>
      </c>
      <c r="T3" s="6">
        <v>21</v>
      </c>
      <c r="U3" s="6">
        <v>28</v>
      </c>
      <c r="V3" s="6">
        <f>IF(ISERROR(VLOOKUP($S$3,'TAR FIN'!$A$1:$O$73,15,0)),0,VLOOKUP($S$3,'TAR FIN'!$A$1:$O$73,15,0))</f>
        <v>0</v>
      </c>
      <c r="W3" s="6">
        <f>IF(ISERROR(VLOOKUP($T$3,'TAR FIN'!$A$1:$O$73,15,0)),0,VLOOKUP($T$3,'TAR FIN'!$A$1:$O$73,15,0))</f>
        <v>384.85</v>
      </c>
      <c r="X3" s="6">
        <f>IF(ISERROR(VLOOKUP($U$3,'TAR FIN'!$A$1:$O$73,15,0)),0,VLOOKUP($U$3,'TAR FIN'!$A$1:$O$73,15,0))</f>
        <v>248.09</v>
      </c>
      <c r="Y3" s="6"/>
      <c r="Z3" s="6">
        <f ca="1">('TUSD BE'!$AM$20+'TUSD BF'!$AM$20+'TUSD CVA'!$AM$20)*1</f>
        <v>486.0916419076849</v>
      </c>
      <c r="AA3" s="6">
        <f>('TE BE'!$AB$10+'TE BF'!$AB$10+'TE CVA'!$AB$10)*1</f>
        <v>192.10069561515587</v>
      </c>
      <c r="AB3" s="6">
        <f>$K$3*$V$3</f>
        <v>0</v>
      </c>
      <c r="AC3" s="6">
        <f>$M$3*$W$3</f>
        <v>2577.7253000000005</v>
      </c>
      <c r="AD3" s="6">
        <f>$O$3*$X$3</f>
        <v>1661.7068200000001</v>
      </c>
      <c r="AE3" s="6">
        <f>$K$3*$Y$3</f>
        <v>0</v>
      </c>
      <c r="AF3" s="6">
        <f ca="1">$M$3*$Z$3</f>
        <v>3255.8418174976737</v>
      </c>
      <c r="AG3" s="6">
        <f>$O$3*$AA$3</f>
        <v>1286.690459230314</v>
      </c>
      <c r="AI3" s="41" t="s">
        <v>31</v>
      </c>
      <c r="AJ3" s="42">
        <f>SUMIF($B$2:$B$174,AI3,$AB$2:$AB$174)+SUMIF($B$2:$B$174,AI3,$AC$2:$AC$174)</f>
        <v>2093172.6258900003</v>
      </c>
      <c r="AK3" s="42">
        <f ca="1">SUMIF($B$2:$B$174,AI3,$AE$2:$AE$174)+SUMIF($B$2:$B$174,AI3,$AF$2:$AF$174)</f>
        <v>2824062.6432934264</v>
      </c>
      <c r="AL3" s="43">
        <f t="shared" ca="1" si="0"/>
        <v>0.34917808897517832</v>
      </c>
      <c r="AN3" s="41" t="s">
        <v>31</v>
      </c>
      <c r="AO3" s="42">
        <f>SUMIF($B$2:$B$174,AN3,$AD$2:$AD$174)</f>
        <v>1349341.3874399997</v>
      </c>
      <c r="AP3" s="42">
        <f>SUMIF($B$2:$B$174,AN3,$AG$2:$AG$174)</f>
        <v>1116053.7467963123</v>
      </c>
      <c r="AQ3" s="43">
        <f t="shared" si="1"/>
        <v>-0.17289000605420246</v>
      </c>
      <c r="AS3" s="41" t="s">
        <v>31</v>
      </c>
      <c r="AT3" s="42">
        <f>SUMIF($B$2:$B$174,AS3,$AB$2:$AB$174)+SUMIF($B$2:$B$174,AS3,$AC$2:$AC$174)+SUMIF($B$2:$B$174,AS3,$AD$2:$AD$174)</f>
        <v>3442514.01333</v>
      </c>
      <c r="AU3" s="42">
        <f ca="1">SUMIF($B$2:$B$174,AS3,$AE$2:$AE$174)+SUMIF($B$2:$B$174,AS3,$AF$2:$AF$174)+SUMIF($B$2:$B$174,AS3,$AG$2:$AG$174)</f>
        <v>3940116.3900897386</v>
      </c>
      <c r="AV3" s="43">
        <f t="shared" ca="1" si="2"/>
        <v>0.14454621675697976</v>
      </c>
    </row>
    <row r="4" spans="1:48" ht="11.25" customHeight="1" x14ac:dyDescent="0.25">
      <c r="A4" s="4" t="s">
        <v>21</v>
      </c>
      <c r="B4" s="4" t="s">
        <v>22</v>
      </c>
      <c r="C4" s="4" t="s">
        <v>23</v>
      </c>
      <c r="D4" s="4" t="s">
        <v>24</v>
      </c>
      <c r="E4" s="4" t="s">
        <v>24</v>
      </c>
      <c r="F4" s="4" t="s">
        <v>25</v>
      </c>
      <c r="G4" s="4" t="s">
        <v>25</v>
      </c>
      <c r="H4" s="4" t="s">
        <v>25</v>
      </c>
      <c r="I4" s="5">
        <v>44531</v>
      </c>
      <c r="J4" s="6">
        <v>0</v>
      </c>
      <c r="K4" s="6">
        <v>0</v>
      </c>
      <c r="L4" s="6">
        <v>252.10300000000001</v>
      </c>
      <c r="M4" s="6">
        <v>252.10300000000001</v>
      </c>
      <c r="N4" s="6">
        <v>252.10300000000001</v>
      </c>
      <c r="O4" s="6">
        <v>252.10300000000001</v>
      </c>
      <c r="P4" s="6">
        <v>1851</v>
      </c>
      <c r="Q4" s="4" t="s">
        <v>26</v>
      </c>
      <c r="R4" s="4">
        <v>0</v>
      </c>
      <c r="S4" s="6">
        <v>0</v>
      </c>
      <c r="T4" s="6">
        <v>21</v>
      </c>
      <c r="U4" s="6">
        <v>28</v>
      </c>
      <c r="V4" s="6">
        <f>IF(ISERROR(VLOOKUP($S$4,'TAR FIN'!$A$1:$O$73,15,0)),0,VLOOKUP($S$4,'TAR FIN'!$A$1:$O$73,15,0))</f>
        <v>0</v>
      </c>
      <c r="W4" s="6">
        <f>IF(ISERROR(VLOOKUP($T$4,'TAR FIN'!$A$1:$O$73,15,0)),0,VLOOKUP($T$4,'TAR FIN'!$A$1:$O$73,15,0))</f>
        <v>384.85</v>
      </c>
      <c r="X4" s="6">
        <f>IF(ISERROR(VLOOKUP($U$4,'TAR FIN'!$A$1:$O$73,15,0)),0,VLOOKUP($U$4,'TAR FIN'!$A$1:$O$73,15,0))</f>
        <v>248.09</v>
      </c>
      <c r="Y4" s="6"/>
      <c r="Z4" s="6">
        <f ca="1">('TUSD BE'!$AM$20+'TUSD BF'!$AM$20+'TUSD CVA'!$AM$20)*1</f>
        <v>486.0916419076849</v>
      </c>
      <c r="AA4" s="6">
        <f>('TE BE'!$AB$10+'TE BF'!$AB$10+'TE CVA'!$AB$10)*1</f>
        <v>192.10069561515587</v>
      </c>
      <c r="AB4" s="6">
        <f>$K$4*$V$4</f>
        <v>0</v>
      </c>
      <c r="AC4" s="6">
        <f>$M$4*$W$4</f>
        <v>97021.839550000004</v>
      </c>
      <c r="AD4" s="6">
        <f>$O$4*$X$4</f>
        <v>62544.233270000004</v>
      </c>
      <c r="AE4" s="6">
        <f>$K$4*$Y$4</f>
        <v>0</v>
      </c>
      <c r="AF4" s="6">
        <f ca="1">$M$4*$Z$4</f>
        <v>122545.16119985309</v>
      </c>
      <c r="AG4" s="6">
        <f>$O$4*$AA$4</f>
        <v>48429.161666667642</v>
      </c>
      <c r="AI4" s="41" t="s">
        <v>28</v>
      </c>
      <c r="AJ4" s="42">
        <f>SUMIF($B$2:$B$174,AI4,$AB$2:$AB$174)+SUMIF($B$2:$B$174,AI4,$AC$2:$AC$174)</f>
        <v>1270293.8453190003</v>
      </c>
      <c r="AK4" s="42">
        <f ca="1">SUMIF($B$2:$B$174,AI4,$AE$2:$AE$174)+SUMIF($B$2:$B$174,AI4,$AF$2:$AF$174)</f>
        <v>1604632.6324756038</v>
      </c>
      <c r="AL4" s="43">
        <f t="shared" ca="1" si="0"/>
        <v>0.26319799028282564</v>
      </c>
      <c r="AN4" s="41" t="s">
        <v>28</v>
      </c>
      <c r="AO4" s="42">
        <f>SUMIF($B$2:$B$174,AN4,$AD$2:$AD$174)</f>
        <v>818883.20146860019</v>
      </c>
      <c r="AP4" s="42">
        <f>SUMIF($B$2:$B$174,AN4,$AG$2:$AG$174)</f>
        <v>634141.83320577047</v>
      </c>
      <c r="AQ4" s="43">
        <f t="shared" si="1"/>
        <v>-0.22560160952320329</v>
      </c>
      <c r="AS4" s="41" t="s">
        <v>28</v>
      </c>
      <c r="AT4" s="42">
        <f>SUMIF($B$2:$B$174,AS4,$AB$2:$AB$174)+SUMIF($B$2:$B$174,AS4,$AC$2:$AC$174)+SUMIF($B$2:$B$174,AS4,$AD$2:$AD$174)</f>
        <v>2089177.0467876005</v>
      </c>
      <c r="AU4" s="42">
        <f ca="1">SUMIF($B$2:$B$174,AS4,$AE$2:$AE$174)+SUMIF($B$2:$B$174,AS4,$AF$2:$AF$174)+SUMIF($B$2:$B$174,AS4,$AG$2:$AG$174)</f>
        <v>2238774.4656813741</v>
      </c>
      <c r="AV4" s="43">
        <f t="shared" ca="1" si="2"/>
        <v>7.1605907753869102E-2</v>
      </c>
    </row>
    <row r="5" spans="1:48" ht="11.25" customHeight="1" x14ac:dyDescent="0.25">
      <c r="A5" s="4" t="s">
        <v>27</v>
      </c>
      <c r="B5" s="4" t="s">
        <v>22</v>
      </c>
      <c r="C5" s="4" t="s">
        <v>23</v>
      </c>
      <c r="D5" s="4" t="s">
        <v>24</v>
      </c>
      <c r="E5" s="4" t="s">
        <v>24</v>
      </c>
      <c r="F5" s="4" t="s">
        <v>25</v>
      </c>
      <c r="G5" s="4" t="s">
        <v>25</v>
      </c>
      <c r="H5" s="4" t="s">
        <v>25</v>
      </c>
      <c r="I5" s="5">
        <v>44531</v>
      </c>
      <c r="J5" s="6">
        <v>0</v>
      </c>
      <c r="K5" s="6">
        <v>0</v>
      </c>
      <c r="L5" s="6">
        <v>7.2949999999999999</v>
      </c>
      <c r="M5" s="6">
        <v>7.2949999999999999</v>
      </c>
      <c r="N5" s="6">
        <v>7.2949999999999999</v>
      </c>
      <c r="O5" s="6">
        <v>7.2949999999999999</v>
      </c>
      <c r="P5" s="6">
        <v>25</v>
      </c>
      <c r="Q5" s="4" t="s">
        <v>26</v>
      </c>
      <c r="R5" s="4">
        <v>0</v>
      </c>
      <c r="S5" s="6">
        <v>0</v>
      </c>
      <c r="T5" s="6">
        <v>21</v>
      </c>
      <c r="U5" s="6">
        <v>28</v>
      </c>
      <c r="V5" s="6">
        <f>IF(ISERROR(VLOOKUP($S$5,'TAR FIN'!$A$1:$O$73,15,0)),0,VLOOKUP($S$5,'TAR FIN'!$A$1:$O$73,15,0))</f>
        <v>0</v>
      </c>
      <c r="W5" s="6">
        <f>IF(ISERROR(VLOOKUP($T$5,'TAR FIN'!$A$1:$O$73,15,0)),0,VLOOKUP($T$5,'TAR FIN'!$A$1:$O$73,15,0))</f>
        <v>384.85</v>
      </c>
      <c r="X5" s="6">
        <f>IF(ISERROR(VLOOKUP($U$5,'TAR FIN'!$A$1:$O$73,15,0)),0,VLOOKUP($U$5,'TAR FIN'!$A$1:$O$73,15,0))</f>
        <v>248.09</v>
      </c>
      <c r="Y5" s="6"/>
      <c r="Z5" s="6">
        <f ca="1">('TUSD BE'!$AM$20+'TUSD BF'!$AM$20+'TUSD CVA'!$AM$20)*1</f>
        <v>486.0916419076849</v>
      </c>
      <c r="AA5" s="6">
        <f>('TE BE'!$AB$10+'TE BF'!$AB$10+'TE CVA'!$AB$10)*1</f>
        <v>192.10069561515587</v>
      </c>
      <c r="AB5" s="6">
        <f>$K$5*$V$5</f>
        <v>0</v>
      </c>
      <c r="AC5" s="6">
        <f>$M$5*$W$5</f>
        <v>2807.4807500000002</v>
      </c>
      <c r="AD5" s="6">
        <f>$O$5*$X$5</f>
        <v>1809.81655</v>
      </c>
      <c r="AE5" s="6">
        <f>$K$5*$Y$5</f>
        <v>0</v>
      </c>
      <c r="AF5" s="6">
        <f ca="1">$M$5*$Z$5</f>
        <v>3546.0385277165615</v>
      </c>
      <c r="AG5" s="6">
        <f>$O$5*$AA$5</f>
        <v>1401.374574512562</v>
      </c>
      <c r="AI5" s="41" t="s">
        <v>34</v>
      </c>
      <c r="AJ5" s="42">
        <f>SUMIF($B$2:$B$174,AI5,$AB$2:$AB$174)+SUMIF($B$2:$B$174,AI5,$AC$2:$AC$174)</f>
        <v>58066.372749999995</v>
      </c>
      <c r="AK5" s="42">
        <f ca="1">SUMIF($B$2:$B$174,AI5,$AE$2:$AE$174)+SUMIF($B$2:$B$174,AI5,$AF$2:$AF$174)</f>
        <v>73340.899316479132</v>
      </c>
      <c r="AL5" s="43">
        <f t="shared" ca="1" si="0"/>
        <v>0.26305287971477664</v>
      </c>
      <c r="AN5" s="41" t="s">
        <v>34</v>
      </c>
      <c r="AO5" s="42">
        <f>SUMIF($B$2:$B$174,AN5,$AD$2:$AD$174)</f>
        <v>37431.646249999998</v>
      </c>
      <c r="AP5" s="42">
        <f>SUMIF($B$2:$B$174,AN5,$AG$2:$AG$174)</f>
        <v>28983.912828545203</v>
      </c>
      <c r="AQ5" s="43">
        <f t="shared" si="1"/>
        <v>-0.22568426098691285</v>
      </c>
      <c r="AS5" s="41" t="s">
        <v>34</v>
      </c>
      <c r="AT5" s="42">
        <f>SUMIF($B$2:$B$174,AS5,$AB$2:$AB$174)+SUMIF($B$2:$B$174,AS5,$AC$2:$AC$174)+SUMIF($B$2:$B$174,AS5,$AD$2:$AD$174)</f>
        <v>95498.019</v>
      </c>
      <c r="AU5" s="42">
        <f ca="1">SUMIF($B$2:$B$174,AS5,$AE$2:$AE$174)+SUMIF($B$2:$B$174,AS5,$AF$2:$AF$174)+SUMIF($B$2:$B$174,AS5,$AG$2:$AG$174)</f>
        <v>102324.81214502433</v>
      </c>
      <c r="AV5" s="43">
        <f t="shared" ca="1" si="2"/>
        <v>7.148622784546288E-2</v>
      </c>
    </row>
    <row r="6" spans="1:48" ht="11.25" customHeight="1" x14ac:dyDescent="0.25">
      <c r="A6" s="4" t="s">
        <v>21</v>
      </c>
      <c r="B6" s="4" t="s">
        <v>22</v>
      </c>
      <c r="C6" s="4" t="s">
        <v>23</v>
      </c>
      <c r="D6" s="4" t="s">
        <v>24</v>
      </c>
      <c r="E6" s="4" t="s">
        <v>24</v>
      </c>
      <c r="F6" s="4" t="s">
        <v>25</v>
      </c>
      <c r="G6" s="4" t="s">
        <v>25</v>
      </c>
      <c r="H6" s="4" t="s">
        <v>25</v>
      </c>
      <c r="I6" s="5">
        <v>44562</v>
      </c>
      <c r="J6" s="6">
        <v>0</v>
      </c>
      <c r="K6" s="6">
        <v>0</v>
      </c>
      <c r="L6" s="6">
        <v>281.71699999999998</v>
      </c>
      <c r="M6" s="6">
        <v>281.71699999999998</v>
      </c>
      <c r="N6" s="6">
        <v>281.71699999999998</v>
      </c>
      <c r="O6" s="6">
        <v>281.71699999999998</v>
      </c>
      <c r="P6" s="6">
        <v>1869</v>
      </c>
      <c r="Q6" s="4" t="s">
        <v>26</v>
      </c>
      <c r="R6" s="4">
        <v>0</v>
      </c>
      <c r="S6" s="6">
        <v>0</v>
      </c>
      <c r="T6" s="6">
        <v>21</v>
      </c>
      <c r="U6" s="6">
        <v>28</v>
      </c>
      <c r="V6" s="6">
        <f>IF(ISERROR(VLOOKUP($S$6,'TAR FIN'!$A$1:$O$73,15,0)),0,VLOOKUP($S$6,'TAR FIN'!$A$1:$O$73,15,0))</f>
        <v>0</v>
      </c>
      <c r="W6" s="6">
        <f>IF(ISERROR(VLOOKUP($T$6,'TAR FIN'!$A$1:$O$73,15,0)),0,VLOOKUP($T$6,'TAR FIN'!$A$1:$O$73,15,0))</f>
        <v>384.85</v>
      </c>
      <c r="X6" s="6">
        <f>IF(ISERROR(VLOOKUP($U$6,'TAR FIN'!$A$1:$O$73,15,0)),0,VLOOKUP($U$6,'TAR FIN'!$A$1:$O$73,15,0))</f>
        <v>248.09</v>
      </c>
      <c r="Y6" s="6"/>
      <c r="Z6" s="6">
        <f ca="1">('TUSD BE'!$AM$20+'TUSD BF'!$AM$20+'TUSD CVA'!$AM$20)*1</f>
        <v>486.0916419076849</v>
      </c>
      <c r="AA6" s="6">
        <f>('TE BE'!$AB$10+'TE BF'!$AB$10+'TE CVA'!$AB$10)*1</f>
        <v>192.10069561515587</v>
      </c>
      <c r="AB6" s="6">
        <f>$K$6*$V$6</f>
        <v>0</v>
      </c>
      <c r="AC6" s="6">
        <f>$M$6*$W$6</f>
        <v>108418.78745</v>
      </c>
      <c r="AD6" s="6">
        <f>$O$6*$X$6</f>
        <v>69891.170530000003</v>
      </c>
      <c r="AE6" s="6">
        <f>$K$6*$Y$6</f>
        <v>0</v>
      </c>
      <c r="AF6" s="6">
        <f ca="1">$M$6*$Z$6</f>
        <v>136940.27908330725</v>
      </c>
      <c r="AG6" s="6">
        <f>$O$6*$AA$6</f>
        <v>54118.031666614865</v>
      </c>
      <c r="AI6" s="64" t="s">
        <v>447</v>
      </c>
      <c r="AJ6" s="42"/>
      <c r="AK6" s="42"/>
      <c r="AL6" s="43">
        <f t="shared" si="0"/>
        <v>0</v>
      </c>
      <c r="AN6" s="41" t="s">
        <v>447</v>
      </c>
      <c r="AO6" s="42"/>
      <c r="AP6" s="42"/>
      <c r="AQ6" s="43">
        <f t="shared" si="1"/>
        <v>0</v>
      </c>
      <c r="AS6" s="41" t="s">
        <v>447</v>
      </c>
      <c r="AT6" s="42"/>
      <c r="AU6" s="42"/>
      <c r="AV6" s="43">
        <f t="shared" si="2"/>
        <v>0</v>
      </c>
    </row>
    <row r="7" spans="1:48" ht="11.25" customHeight="1" x14ac:dyDescent="0.25">
      <c r="A7" s="4" t="s">
        <v>27</v>
      </c>
      <c r="B7" s="4" t="s">
        <v>22</v>
      </c>
      <c r="C7" s="4" t="s">
        <v>23</v>
      </c>
      <c r="D7" s="4" t="s">
        <v>24</v>
      </c>
      <c r="E7" s="4" t="s">
        <v>24</v>
      </c>
      <c r="F7" s="4" t="s">
        <v>25</v>
      </c>
      <c r="G7" s="4" t="s">
        <v>25</v>
      </c>
      <c r="H7" s="4" t="s">
        <v>25</v>
      </c>
      <c r="I7" s="5">
        <v>44562</v>
      </c>
      <c r="J7" s="6">
        <v>0</v>
      </c>
      <c r="K7" s="6">
        <v>0</v>
      </c>
      <c r="L7" s="6">
        <v>9.2750000000000004</v>
      </c>
      <c r="M7" s="6">
        <v>9.2750000000000004</v>
      </c>
      <c r="N7" s="6">
        <v>9.2750000000000004</v>
      </c>
      <c r="O7" s="6">
        <v>9.2750000000000004</v>
      </c>
      <c r="P7" s="6">
        <v>25</v>
      </c>
      <c r="Q7" s="4" t="s">
        <v>26</v>
      </c>
      <c r="R7" s="4">
        <v>0</v>
      </c>
      <c r="S7" s="6">
        <v>0</v>
      </c>
      <c r="T7" s="6">
        <v>21</v>
      </c>
      <c r="U7" s="6">
        <v>28</v>
      </c>
      <c r="V7" s="6">
        <f>IF(ISERROR(VLOOKUP($S$7,'TAR FIN'!$A$1:$O$73,15,0)),0,VLOOKUP($S$7,'TAR FIN'!$A$1:$O$73,15,0))</f>
        <v>0</v>
      </c>
      <c r="W7" s="6">
        <f>IF(ISERROR(VLOOKUP($T$7,'TAR FIN'!$A$1:$O$73,15,0)),0,VLOOKUP($T$7,'TAR FIN'!$A$1:$O$73,15,0))</f>
        <v>384.85</v>
      </c>
      <c r="X7" s="6">
        <f>IF(ISERROR(VLOOKUP($U$7,'TAR FIN'!$A$1:$O$73,15,0)),0,VLOOKUP($U$7,'TAR FIN'!$A$1:$O$73,15,0))</f>
        <v>248.09</v>
      </c>
      <c r="Y7" s="6"/>
      <c r="Z7" s="6">
        <f ca="1">('TUSD BE'!$AM$20+'TUSD BF'!$AM$20+'TUSD CVA'!$AM$20)*1</f>
        <v>486.0916419076849</v>
      </c>
      <c r="AA7" s="6">
        <f>('TE BE'!$AB$10+'TE BF'!$AB$10+'TE CVA'!$AB$10)*1</f>
        <v>192.10069561515587</v>
      </c>
      <c r="AB7" s="6">
        <f>$K$7*$V$7</f>
        <v>0</v>
      </c>
      <c r="AC7" s="6">
        <f>$M$7*$W$7</f>
        <v>3569.4837500000003</v>
      </c>
      <c r="AD7" s="6">
        <f>$O$7*$X$7</f>
        <v>2301.0347500000003</v>
      </c>
      <c r="AE7" s="6">
        <f>$K$7*$Y$7</f>
        <v>0</v>
      </c>
      <c r="AF7" s="6">
        <f ca="1">$M$7*$Z$7</f>
        <v>4508.4999786937778</v>
      </c>
      <c r="AG7" s="6">
        <f>$O$7*$AA$7</f>
        <v>1781.7339518305707</v>
      </c>
      <c r="AI7" s="41" t="s">
        <v>71</v>
      </c>
      <c r="AJ7" s="42">
        <f>+$AJ$2+$AJ$3+$AJ$4+$AJ$5</f>
        <v>4796749.929409001</v>
      </c>
      <c r="AK7" s="42">
        <f ca="1">+$AK$2+$AK$3+$AK$4+$AK$5</f>
        <v>6235968.4629082987</v>
      </c>
      <c r="AL7" s="43">
        <f t="shared" ca="1" si="0"/>
        <v>0.3000403512126848</v>
      </c>
      <c r="AN7" s="41" t="s">
        <v>71</v>
      </c>
      <c r="AO7" s="42">
        <f>+$AO$2+$AO$3+$AO$4+$AO$5</f>
        <v>3101255.5699186008</v>
      </c>
      <c r="AP7" s="42">
        <f>+$AP$2+$AP$3+$AP$4+$AP$5</f>
        <v>2472658.7777860365</v>
      </c>
      <c r="AQ7" s="43">
        <f t="shared" si="1"/>
        <v>-0.20269106429982586</v>
      </c>
      <c r="AS7" s="41" t="s">
        <v>71</v>
      </c>
      <c r="AT7" s="42">
        <f>+$AT$2+$AT$3+$AT$4+$AT$5</f>
        <v>7898005.4993276009</v>
      </c>
      <c r="AU7" s="42">
        <f ca="1">+$AU$2+$AU$3+$AU$4+$AU$5</f>
        <v>8708627.2406943347</v>
      </c>
      <c r="AV7" s="43">
        <f t="shared" ca="1" si="2"/>
        <v>0.102636259424705</v>
      </c>
    </row>
    <row r="8" spans="1:48" ht="11.25" customHeight="1" x14ac:dyDescent="0.25">
      <c r="A8" s="4" t="s">
        <v>21</v>
      </c>
      <c r="B8" s="4" t="s">
        <v>22</v>
      </c>
      <c r="C8" s="4" t="s">
        <v>23</v>
      </c>
      <c r="D8" s="4" t="s">
        <v>24</v>
      </c>
      <c r="E8" s="4" t="s">
        <v>24</v>
      </c>
      <c r="F8" s="4" t="s">
        <v>25</v>
      </c>
      <c r="G8" s="4" t="s">
        <v>25</v>
      </c>
      <c r="H8" s="4" t="s">
        <v>25</v>
      </c>
      <c r="I8" s="5">
        <v>44593</v>
      </c>
      <c r="J8" s="6">
        <v>0</v>
      </c>
      <c r="K8" s="6">
        <v>0</v>
      </c>
      <c r="L8" s="6">
        <v>300.13299999999998</v>
      </c>
      <c r="M8" s="6">
        <v>300.13299999999998</v>
      </c>
      <c r="N8" s="6">
        <v>300.13299999999998</v>
      </c>
      <c r="O8" s="6">
        <v>300.13299999999998</v>
      </c>
      <c r="P8" s="6">
        <v>1868</v>
      </c>
      <c r="Q8" s="4" t="s">
        <v>26</v>
      </c>
      <c r="R8" s="4">
        <v>0</v>
      </c>
      <c r="S8" s="6">
        <v>0</v>
      </c>
      <c r="T8" s="6">
        <v>21</v>
      </c>
      <c r="U8" s="6">
        <v>28</v>
      </c>
      <c r="V8" s="6">
        <f>IF(ISERROR(VLOOKUP($S$8,'TAR FIN'!$A$1:$O$73,15,0)),0,VLOOKUP($S$8,'TAR FIN'!$A$1:$O$73,15,0))</f>
        <v>0</v>
      </c>
      <c r="W8" s="6">
        <f>IF(ISERROR(VLOOKUP($T$8,'TAR FIN'!$A$1:$O$73,15,0)),0,VLOOKUP($T$8,'TAR FIN'!$A$1:$O$73,15,0))</f>
        <v>384.85</v>
      </c>
      <c r="X8" s="6">
        <f>IF(ISERROR(VLOOKUP($U$8,'TAR FIN'!$A$1:$O$73,15,0)),0,VLOOKUP($U$8,'TAR FIN'!$A$1:$O$73,15,0))</f>
        <v>248.09</v>
      </c>
      <c r="Y8" s="6"/>
      <c r="Z8" s="6">
        <f ca="1">('TUSD BE'!$AM$20+'TUSD BF'!$AM$20+'TUSD CVA'!$AM$20)*1</f>
        <v>486.0916419076849</v>
      </c>
      <c r="AA8" s="6">
        <f>('TE BE'!$AB$10+'TE BF'!$AB$10+'TE CVA'!$AB$10)*1</f>
        <v>192.10069561515587</v>
      </c>
      <c r="AB8" s="6">
        <f>$K$8*$V$8</f>
        <v>0</v>
      </c>
      <c r="AC8" s="6">
        <f>$M$8*$W$8</f>
        <v>115506.18505</v>
      </c>
      <c r="AD8" s="6">
        <f>$O$8*$X$8</f>
        <v>74459.995970000004</v>
      </c>
      <c r="AE8" s="6">
        <f>$K$8*$Y$8</f>
        <v>0</v>
      </c>
      <c r="AF8" s="6">
        <f ca="1">$M$8*$Z$8</f>
        <v>145892.14276067918</v>
      </c>
      <c r="AG8" s="6">
        <f>$O$8*$AA$8</f>
        <v>57655.758077063576</v>
      </c>
      <c r="AI8" s="41" t="s">
        <v>448</v>
      </c>
      <c r="AJ8" s="42">
        <f>AJ7+AJ6</f>
        <v>4796749.929409001</v>
      </c>
      <c r="AK8" s="42">
        <f ca="1">AK7+AK6</f>
        <v>6235968.4629082987</v>
      </c>
      <c r="AL8" s="43">
        <f t="shared" ca="1" si="0"/>
        <v>0.3000403512126848</v>
      </c>
      <c r="AN8" s="41" t="s">
        <v>448</v>
      </c>
      <c r="AO8" s="42">
        <f>AO7+AO6</f>
        <v>3101255.5699186008</v>
      </c>
      <c r="AP8" s="42">
        <f>AP7+AP6</f>
        <v>2472658.7777860365</v>
      </c>
      <c r="AQ8" s="43">
        <f t="shared" si="1"/>
        <v>-0.20269106429982586</v>
      </c>
      <c r="AS8" s="41" t="s">
        <v>448</v>
      </c>
      <c r="AT8" s="42">
        <f>AT7+AT6</f>
        <v>7898005.4993276009</v>
      </c>
      <c r="AU8" s="42">
        <f ca="1">AU7+AU6</f>
        <v>8708627.2406943347</v>
      </c>
      <c r="AV8" s="43">
        <f t="shared" ca="1" si="2"/>
        <v>0.102636259424705</v>
      </c>
    </row>
    <row r="9" spans="1:48" ht="11.25" customHeight="1" x14ac:dyDescent="0.25">
      <c r="A9" s="4" t="s">
        <v>27</v>
      </c>
      <c r="B9" s="4" t="s">
        <v>22</v>
      </c>
      <c r="C9" s="4" t="s">
        <v>23</v>
      </c>
      <c r="D9" s="4" t="s">
        <v>24</v>
      </c>
      <c r="E9" s="4" t="s">
        <v>24</v>
      </c>
      <c r="F9" s="4" t="s">
        <v>25</v>
      </c>
      <c r="G9" s="4" t="s">
        <v>25</v>
      </c>
      <c r="H9" s="4" t="s">
        <v>25</v>
      </c>
      <c r="I9" s="5">
        <v>44593</v>
      </c>
      <c r="J9" s="6">
        <v>0</v>
      </c>
      <c r="K9" s="6">
        <v>0</v>
      </c>
      <c r="L9" s="6">
        <v>9.7720000000000002</v>
      </c>
      <c r="M9" s="6">
        <v>9.7720000000000002</v>
      </c>
      <c r="N9" s="6">
        <v>9.7720000000000002</v>
      </c>
      <c r="O9" s="6">
        <v>9.7720000000000002</v>
      </c>
      <c r="P9" s="6">
        <v>28</v>
      </c>
      <c r="Q9" s="4" t="s">
        <v>26</v>
      </c>
      <c r="R9" s="4">
        <v>0</v>
      </c>
      <c r="S9" s="6">
        <v>0</v>
      </c>
      <c r="T9" s="6">
        <v>21</v>
      </c>
      <c r="U9" s="6">
        <v>28</v>
      </c>
      <c r="V9" s="6">
        <f>IF(ISERROR(VLOOKUP($S$9,'TAR FIN'!$A$1:$O$73,15,0)),0,VLOOKUP($S$9,'TAR FIN'!$A$1:$O$73,15,0))</f>
        <v>0</v>
      </c>
      <c r="W9" s="6">
        <f>IF(ISERROR(VLOOKUP($T$9,'TAR FIN'!$A$1:$O$73,15,0)),0,VLOOKUP($T$9,'TAR FIN'!$A$1:$O$73,15,0))</f>
        <v>384.85</v>
      </c>
      <c r="X9" s="6">
        <f>IF(ISERROR(VLOOKUP($U$9,'TAR FIN'!$A$1:$O$73,15,0)),0,VLOOKUP($U$9,'TAR FIN'!$A$1:$O$73,15,0))</f>
        <v>248.09</v>
      </c>
      <c r="Y9" s="6"/>
      <c r="Z9" s="6">
        <f ca="1">('TUSD BE'!$AM$20+'TUSD BF'!$AM$20+'TUSD CVA'!$AM$20)*1</f>
        <v>486.0916419076849</v>
      </c>
      <c r="AA9" s="6">
        <f>('TE BE'!$AB$10+'TE BF'!$AB$10+'TE CVA'!$AB$10)*1</f>
        <v>192.10069561515587</v>
      </c>
      <c r="AB9" s="6">
        <f>$K$9*$V$9</f>
        <v>0</v>
      </c>
      <c r="AC9" s="6">
        <f>$M$9*$W$9</f>
        <v>3760.7542000000003</v>
      </c>
      <c r="AD9" s="6">
        <f>$O$9*$X$9</f>
        <v>2424.3354800000002</v>
      </c>
      <c r="AE9" s="6">
        <f>$K$9*$Y$9</f>
        <v>0</v>
      </c>
      <c r="AF9" s="6">
        <f ca="1">$M$9*$Z$9</f>
        <v>4750.0875247218974</v>
      </c>
      <c r="AG9" s="6">
        <f>$O$9*$AA$9</f>
        <v>1877.2079975513032</v>
      </c>
    </row>
    <row r="10" spans="1:48" ht="11.25" customHeight="1" x14ac:dyDescent="0.25">
      <c r="A10" s="4" t="s">
        <v>21</v>
      </c>
      <c r="B10" s="4" t="s">
        <v>22</v>
      </c>
      <c r="C10" s="4" t="s">
        <v>23</v>
      </c>
      <c r="D10" s="4" t="s">
        <v>24</v>
      </c>
      <c r="E10" s="4" t="s">
        <v>24</v>
      </c>
      <c r="F10" s="4" t="s">
        <v>25</v>
      </c>
      <c r="G10" s="4" t="s">
        <v>25</v>
      </c>
      <c r="H10" s="4" t="s">
        <v>25</v>
      </c>
      <c r="I10" s="5">
        <v>44621</v>
      </c>
      <c r="J10" s="6">
        <v>0</v>
      </c>
      <c r="K10" s="6">
        <v>0</v>
      </c>
      <c r="L10" s="6">
        <v>288.79300000000001</v>
      </c>
      <c r="M10" s="6">
        <v>288.79300000000001</v>
      </c>
      <c r="N10" s="6">
        <v>288.79300000000001</v>
      </c>
      <c r="O10" s="6">
        <v>288.79300000000001</v>
      </c>
      <c r="P10" s="6">
        <v>1866</v>
      </c>
      <c r="Q10" s="4" t="s">
        <v>26</v>
      </c>
      <c r="R10" s="4">
        <v>0</v>
      </c>
      <c r="S10" s="6">
        <v>0</v>
      </c>
      <c r="T10" s="6">
        <v>21</v>
      </c>
      <c r="U10" s="6">
        <v>28</v>
      </c>
      <c r="V10" s="6">
        <f>IF(ISERROR(VLOOKUP($S$10,'TAR FIN'!$A$1:$O$73,15,0)),0,VLOOKUP($S$10,'TAR FIN'!$A$1:$O$73,15,0))</f>
        <v>0</v>
      </c>
      <c r="W10" s="6">
        <f>IF(ISERROR(VLOOKUP($T$10,'TAR FIN'!$A$1:$O$73,15,0)),0,VLOOKUP($T$10,'TAR FIN'!$A$1:$O$73,15,0))</f>
        <v>384.85</v>
      </c>
      <c r="X10" s="6">
        <f>IF(ISERROR(VLOOKUP($U$10,'TAR FIN'!$A$1:$O$73,15,0)),0,VLOOKUP($U$10,'TAR FIN'!$A$1:$O$73,15,0))</f>
        <v>248.09</v>
      </c>
      <c r="Y10" s="6"/>
      <c r="Z10" s="6">
        <f ca="1">('TUSD BE'!$AM$20+'TUSD BF'!$AM$20+'TUSD CVA'!$AM$20)*1</f>
        <v>486.0916419076849</v>
      </c>
      <c r="AA10" s="6">
        <f>('TE BE'!$AB$10+'TE BF'!$AB$10+'TE CVA'!$AB$10)*1</f>
        <v>192.10069561515587</v>
      </c>
      <c r="AB10" s="6">
        <f>$K$10*$V$10</f>
        <v>0</v>
      </c>
      <c r="AC10" s="6">
        <f>$M$10*$W$10</f>
        <v>111141.98605000001</v>
      </c>
      <c r="AD10" s="6">
        <f>$O$10*$X$10</f>
        <v>71646.655370000008</v>
      </c>
      <c r="AE10" s="6">
        <f>$K$10*$Y$10</f>
        <v>0</v>
      </c>
      <c r="AF10" s="6">
        <f ca="1">$M$10*$Z$10</f>
        <v>140379.86354144604</v>
      </c>
      <c r="AG10" s="6">
        <f>$O$10*$AA$10</f>
        <v>55477.336188787711</v>
      </c>
      <c r="AU10" s="65">
        <f ca="1">AU8+SUBSIDIO!AJ11</f>
        <v>8966322.8116027545</v>
      </c>
    </row>
    <row r="11" spans="1:48" ht="11.25" customHeight="1" x14ac:dyDescent="0.25">
      <c r="A11" s="4" t="s">
        <v>27</v>
      </c>
      <c r="B11" s="4" t="s">
        <v>22</v>
      </c>
      <c r="C11" s="4" t="s">
        <v>23</v>
      </c>
      <c r="D11" s="4" t="s">
        <v>24</v>
      </c>
      <c r="E11" s="4" t="s">
        <v>24</v>
      </c>
      <c r="F11" s="4" t="s">
        <v>25</v>
      </c>
      <c r="G11" s="4" t="s">
        <v>25</v>
      </c>
      <c r="H11" s="4" t="s">
        <v>25</v>
      </c>
      <c r="I11" s="5">
        <v>44621</v>
      </c>
      <c r="J11" s="6">
        <v>0</v>
      </c>
      <c r="K11" s="6">
        <v>0</v>
      </c>
      <c r="L11" s="6">
        <v>9.8160000000000007</v>
      </c>
      <c r="M11" s="6">
        <v>9.8160000000000007</v>
      </c>
      <c r="N11" s="6">
        <v>9.8160000000000007</v>
      </c>
      <c r="O11" s="6">
        <v>9.8160000000000007</v>
      </c>
      <c r="P11" s="6">
        <v>28</v>
      </c>
      <c r="Q11" s="4" t="s">
        <v>26</v>
      </c>
      <c r="R11" s="4">
        <v>0</v>
      </c>
      <c r="S11" s="6">
        <v>0</v>
      </c>
      <c r="T11" s="6">
        <v>21</v>
      </c>
      <c r="U11" s="6">
        <v>28</v>
      </c>
      <c r="V11" s="6">
        <f>IF(ISERROR(VLOOKUP($S$11,'TAR FIN'!$A$1:$O$73,15,0)),0,VLOOKUP($S$11,'TAR FIN'!$A$1:$O$73,15,0))</f>
        <v>0</v>
      </c>
      <c r="W11" s="6">
        <f>IF(ISERROR(VLOOKUP($T$11,'TAR FIN'!$A$1:$O$73,15,0)),0,VLOOKUP($T$11,'TAR FIN'!$A$1:$O$73,15,0))</f>
        <v>384.85</v>
      </c>
      <c r="X11" s="6">
        <f>IF(ISERROR(VLOOKUP($U$11,'TAR FIN'!$A$1:$O$73,15,0)),0,VLOOKUP($U$11,'TAR FIN'!$A$1:$O$73,15,0))</f>
        <v>248.09</v>
      </c>
      <c r="Y11" s="6"/>
      <c r="Z11" s="6">
        <f ca="1">('TUSD BE'!$AM$20+'TUSD BF'!$AM$20+'TUSD CVA'!$AM$20)*1</f>
        <v>486.0916419076849</v>
      </c>
      <c r="AA11" s="6">
        <f>('TE BE'!$AB$10+'TE BF'!$AB$10+'TE CVA'!$AB$10)*1</f>
        <v>192.10069561515587</v>
      </c>
      <c r="AB11" s="6">
        <f>$K$11*$V$11</f>
        <v>0</v>
      </c>
      <c r="AC11" s="6">
        <f>$M$11*$W$11</f>
        <v>3777.6876000000007</v>
      </c>
      <c r="AD11" s="6">
        <f>$O$11*$X$11</f>
        <v>2435.25144</v>
      </c>
      <c r="AE11" s="6">
        <f>$K$11*$Y$11</f>
        <v>0</v>
      </c>
      <c r="AF11" s="6">
        <f ca="1">$M$11*$Z$11</f>
        <v>4771.4755569658355</v>
      </c>
      <c r="AG11" s="6">
        <f>$O$11*$AA$11</f>
        <v>1885.6604281583702</v>
      </c>
    </row>
    <row r="12" spans="1:48" ht="11.25" customHeight="1" x14ac:dyDescent="0.25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24</v>
      </c>
      <c r="F12" s="4" t="s">
        <v>25</v>
      </c>
      <c r="G12" s="4" t="s">
        <v>25</v>
      </c>
      <c r="H12" s="4" t="s">
        <v>25</v>
      </c>
      <c r="I12" s="5">
        <v>44652</v>
      </c>
      <c r="J12" s="6">
        <v>0</v>
      </c>
      <c r="K12" s="6">
        <v>0</v>
      </c>
      <c r="L12" s="6">
        <v>271.27999999999997</v>
      </c>
      <c r="M12" s="6">
        <v>271.27999999999997</v>
      </c>
      <c r="N12" s="6">
        <v>271.27999999999997</v>
      </c>
      <c r="O12" s="6">
        <v>271.27999999999997</v>
      </c>
      <c r="P12" s="6">
        <v>1864</v>
      </c>
      <c r="Q12" s="4" t="s">
        <v>26</v>
      </c>
      <c r="R12" s="4">
        <v>0</v>
      </c>
      <c r="S12" s="6">
        <v>0</v>
      </c>
      <c r="T12" s="6">
        <v>21</v>
      </c>
      <c r="U12" s="6">
        <v>28</v>
      </c>
      <c r="V12" s="6">
        <f>IF(ISERROR(VLOOKUP($S$12,'TAR FIN'!$A$1:$O$73,15,0)),0,VLOOKUP($S$12,'TAR FIN'!$A$1:$O$73,15,0))</f>
        <v>0</v>
      </c>
      <c r="W12" s="6">
        <f>IF(ISERROR(VLOOKUP($T$12,'TAR FIN'!$A$1:$O$73,15,0)),0,VLOOKUP($T$12,'TAR FIN'!$A$1:$O$73,15,0))</f>
        <v>384.85</v>
      </c>
      <c r="X12" s="6">
        <f>IF(ISERROR(VLOOKUP($U$12,'TAR FIN'!$A$1:$O$73,15,0)),0,VLOOKUP($U$12,'TAR FIN'!$A$1:$O$73,15,0))</f>
        <v>248.09</v>
      </c>
      <c r="Y12" s="6"/>
      <c r="Z12" s="6">
        <f ca="1">('TUSD BE'!$AM$20+'TUSD BF'!$AM$20+'TUSD CVA'!$AM$20)*1</f>
        <v>486.0916419076849</v>
      </c>
      <c r="AA12" s="6">
        <f>('TE BE'!$AB$10+'TE BF'!$AB$10+'TE CVA'!$AB$10)*1</f>
        <v>192.10069561515587</v>
      </c>
      <c r="AB12" s="6">
        <f>$K$12*$V$12</f>
        <v>0</v>
      </c>
      <c r="AC12" s="6">
        <f>$M$12*$W$12</f>
        <v>104402.10799999999</v>
      </c>
      <c r="AD12" s="6">
        <f>$O$12*$X$12</f>
        <v>67301.855199999991</v>
      </c>
      <c r="AE12" s="6">
        <f>$K$12*$Y$12</f>
        <v>0</v>
      </c>
      <c r="AF12" s="6">
        <f ca="1">$M$12*$Z$12</f>
        <v>131866.94061671675</v>
      </c>
      <c r="AG12" s="6">
        <f>$O$12*$AA$12</f>
        <v>52113.076706479478</v>
      </c>
    </row>
    <row r="13" spans="1:48" ht="11.25" customHeight="1" x14ac:dyDescent="0.25">
      <c r="A13" s="4" t="s">
        <v>27</v>
      </c>
      <c r="B13" s="4" t="s">
        <v>22</v>
      </c>
      <c r="C13" s="4" t="s">
        <v>23</v>
      </c>
      <c r="D13" s="4" t="s">
        <v>24</v>
      </c>
      <c r="E13" s="4" t="s">
        <v>24</v>
      </c>
      <c r="F13" s="4" t="s">
        <v>25</v>
      </c>
      <c r="G13" s="4" t="s">
        <v>25</v>
      </c>
      <c r="H13" s="4" t="s">
        <v>25</v>
      </c>
      <c r="I13" s="5">
        <v>44652</v>
      </c>
      <c r="J13" s="6">
        <v>0</v>
      </c>
      <c r="K13" s="6">
        <v>0</v>
      </c>
      <c r="L13" s="6">
        <v>7.37</v>
      </c>
      <c r="M13" s="6">
        <v>7.37</v>
      </c>
      <c r="N13" s="6">
        <v>7.37</v>
      </c>
      <c r="O13" s="6">
        <v>7.37</v>
      </c>
      <c r="P13" s="6">
        <v>30</v>
      </c>
      <c r="Q13" s="4" t="s">
        <v>26</v>
      </c>
      <c r="R13" s="4">
        <v>0</v>
      </c>
      <c r="S13" s="6">
        <v>0</v>
      </c>
      <c r="T13" s="6">
        <v>21</v>
      </c>
      <c r="U13" s="6">
        <v>28</v>
      </c>
      <c r="V13" s="6">
        <f>IF(ISERROR(VLOOKUP($S$13,'TAR FIN'!$A$1:$O$73,15,0)),0,VLOOKUP($S$13,'TAR FIN'!$A$1:$O$73,15,0))</f>
        <v>0</v>
      </c>
      <c r="W13" s="6">
        <f>IF(ISERROR(VLOOKUP($T$13,'TAR FIN'!$A$1:$O$73,15,0)),0,VLOOKUP($T$13,'TAR FIN'!$A$1:$O$73,15,0))</f>
        <v>384.85</v>
      </c>
      <c r="X13" s="6">
        <f>IF(ISERROR(VLOOKUP($U$13,'TAR FIN'!$A$1:$O$73,15,0)),0,VLOOKUP($U$13,'TAR FIN'!$A$1:$O$73,15,0))</f>
        <v>248.09</v>
      </c>
      <c r="Y13" s="6"/>
      <c r="Z13" s="6">
        <f ca="1">('TUSD BE'!$AM$20+'TUSD BF'!$AM$20+'TUSD CVA'!$AM$20)*1</f>
        <v>486.0916419076849</v>
      </c>
      <c r="AA13" s="6">
        <f>('TE BE'!$AB$10+'TE BF'!$AB$10+'TE CVA'!$AB$10)*1</f>
        <v>192.10069561515587</v>
      </c>
      <c r="AB13" s="6">
        <f>$K$13*$V$13</f>
        <v>0</v>
      </c>
      <c r="AC13" s="6">
        <f>$M$13*$W$13</f>
        <v>2836.3445000000002</v>
      </c>
      <c r="AD13" s="6">
        <f>$O$13*$X$13</f>
        <v>1828.4233000000002</v>
      </c>
      <c r="AE13" s="6">
        <f>$K$13*$Y$13</f>
        <v>0</v>
      </c>
      <c r="AF13" s="6">
        <f ca="1">$M$13*$Z$13</f>
        <v>3582.4954008596378</v>
      </c>
      <c r="AG13" s="6">
        <f>$O$13*$AA$13</f>
        <v>1415.7821266836988</v>
      </c>
    </row>
    <row r="14" spans="1:48" ht="11.25" customHeight="1" x14ac:dyDescent="0.25">
      <c r="A14" s="4" t="s">
        <v>21</v>
      </c>
      <c r="B14" s="4" t="s">
        <v>22</v>
      </c>
      <c r="C14" s="4" t="s">
        <v>23</v>
      </c>
      <c r="D14" s="4" t="s">
        <v>24</v>
      </c>
      <c r="E14" s="4" t="s">
        <v>24</v>
      </c>
      <c r="F14" s="4" t="s">
        <v>25</v>
      </c>
      <c r="G14" s="4" t="s">
        <v>25</v>
      </c>
      <c r="H14" s="4" t="s">
        <v>25</v>
      </c>
      <c r="I14" s="5">
        <v>44682</v>
      </c>
      <c r="J14" s="6">
        <v>0</v>
      </c>
      <c r="K14" s="6">
        <v>0</v>
      </c>
      <c r="L14" s="6">
        <v>263.76100000000002</v>
      </c>
      <c r="M14" s="6">
        <v>263.76100000000002</v>
      </c>
      <c r="N14" s="6">
        <v>263.76100000000002</v>
      </c>
      <c r="O14" s="6">
        <v>263.76100000000002</v>
      </c>
      <c r="P14" s="6">
        <v>1864</v>
      </c>
      <c r="Q14" s="4" t="s">
        <v>26</v>
      </c>
      <c r="R14" s="4">
        <v>0</v>
      </c>
      <c r="S14" s="6">
        <v>0</v>
      </c>
      <c r="T14" s="6">
        <v>21</v>
      </c>
      <c r="U14" s="6">
        <v>28</v>
      </c>
      <c r="V14" s="6">
        <f>IF(ISERROR(VLOOKUP($S$14,'TAR FIN'!$A$1:$O$73,15,0)),0,VLOOKUP($S$14,'TAR FIN'!$A$1:$O$73,15,0))</f>
        <v>0</v>
      </c>
      <c r="W14" s="6">
        <f>IF(ISERROR(VLOOKUP($T$14,'TAR FIN'!$A$1:$O$73,15,0)),0,VLOOKUP($T$14,'TAR FIN'!$A$1:$O$73,15,0))</f>
        <v>384.85</v>
      </c>
      <c r="X14" s="6">
        <f>IF(ISERROR(VLOOKUP($U$14,'TAR FIN'!$A$1:$O$73,15,0)),0,VLOOKUP($U$14,'TAR FIN'!$A$1:$O$73,15,0))</f>
        <v>248.09</v>
      </c>
      <c r="Y14" s="6"/>
      <c r="Z14" s="6">
        <f ca="1">('TUSD BE'!$AM$20+'TUSD BF'!$AM$20+'TUSD CVA'!$AM$20)*1</f>
        <v>486.0916419076849</v>
      </c>
      <c r="AA14" s="6">
        <f>('TE BE'!$AB$10+'TE BF'!$AB$10+'TE CVA'!$AB$10)*1</f>
        <v>192.10069561515587</v>
      </c>
      <c r="AB14" s="6">
        <f>$K$14*$V$14</f>
        <v>0</v>
      </c>
      <c r="AC14" s="6">
        <f>$M$14*$W$14</f>
        <v>101508.42085000001</v>
      </c>
      <c r="AD14" s="6">
        <f>$O$14*$X$14</f>
        <v>65436.466490000006</v>
      </c>
      <c r="AE14" s="6">
        <f>$K$14*$Y$14</f>
        <v>0</v>
      </c>
      <c r="AF14" s="6">
        <f ca="1">$M$14*$Z$14</f>
        <v>128212.0175612129</v>
      </c>
      <c r="AG14" s="6">
        <f>$O$14*$AA$14</f>
        <v>50668.671576149136</v>
      </c>
    </row>
    <row r="15" spans="1:48" ht="11.25" customHeight="1" x14ac:dyDescent="0.25">
      <c r="A15" s="4" t="s">
        <v>27</v>
      </c>
      <c r="B15" s="4" t="s">
        <v>22</v>
      </c>
      <c r="C15" s="4" t="s">
        <v>23</v>
      </c>
      <c r="D15" s="4" t="s">
        <v>24</v>
      </c>
      <c r="E15" s="4" t="s">
        <v>24</v>
      </c>
      <c r="F15" s="4" t="s">
        <v>25</v>
      </c>
      <c r="G15" s="4" t="s">
        <v>25</v>
      </c>
      <c r="H15" s="4" t="s">
        <v>25</v>
      </c>
      <c r="I15" s="5">
        <v>44682</v>
      </c>
      <c r="J15" s="6">
        <v>0</v>
      </c>
      <c r="K15" s="6">
        <v>0</v>
      </c>
      <c r="L15" s="6">
        <v>9.7769999999999992</v>
      </c>
      <c r="M15" s="6">
        <v>9.7769999999999992</v>
      </c>
      <c r="N15" s="6">
        <v>9.7769999999999992</v>
      </c>
      <c r="O15" s="6">
        <v>9.7769999999999992</v>
      </c>
      <c r="P15" s="6">
        <v>33</v>
      </c>
      <c r="Q15" s="4" t="s">
        <v>26</v>
      </c>
      <c r="R15" s="4">
        <v>0</v>
      </c>
      <c r="S15" s="6">
        <v>0</v>
      </c>
      <c r="T15" s="6">
        <v>21</v>
      </c>
      <c r="U15" s="6">
        <v>28</v>
      </c>
      <c r="V15" s="6">
        <f>IF(ISERROR(VLOOKUP($S$15,'TAR FIN'!$A$1:$O$73,15,0)),0,VLOOKUP($S$15,'TAR FIN'!$A$1:$O$73,15,0))</f>
        <v>0</v>
      </c>
      <c r="W15" s="6">
        <f>IF(ISERROR(VLOOKUP($T$15,'TAR FIN'!$A$1:$O$73,15,0)),0,VLOOKUP($T$15,'TAR FIN'!$A$1:$O$73,15,0))</f>
        <v>384.85</v>
      </c>
      <c r="X15" s="6">
        <f>IF(ISERROR(VLOOKUP($U$15,'TAR FIN'!$A$1:$O$73,15,0)),0,VLOOKUP($U$15,'TAR FIN'!$A$1:$O$73,15,0))</f>
        <v>248.09</v>
      </c>
      <c r="Y15" s="6"/>
      <c r="Z15" s="6">
        <f ca="1">('TUSD BE'!$AM$20+'TUSD BF'!$AM$20+'TUSD CVA'!$AM$20)*1</f>
        <v>486.0916419076849</v>
      </c>
      <c r="AA15" s="6">
        <f>('TE BE'!$AB$10+'TE BF'!$AB$10+'TE CVA'!$AB$10)*1</f>
        <v>192.10069561515587</v>
      </c>
      <c r="AB15" s="6">
        <f>$K$15*$V$15</f>
        <v>0</v>
      </c>
      <c r="AC15" s="6">
        <f>$M$15*$W$15</f>
        <v>3762.6784499999999</v>
      </c>
      <c r="AD15" s="6">
        <f>$O$15*$X$15</f>
        <v>2425.57593</v>
      </c>
      <c r="AE15" s="6">
        <f>$K$15*$Y$15</f>
        <v>0</v>
      </c>
      <c r="AF15" s="6">
        <f ca="1">$M$15*$Z$15</f>
        <v>4752.5179829314347</v>
      </c>
      <c r="AG15" s="6">
        <f>$O$15*$AA$15</f>
        <v>1878.1685010293788</v>
      </c>
    </row>
    <row r="16" spans="1:48" ht="11.25" customHeight="1" x14ac:dyDescent="0.25">
      <c r="A16" s="4" t="s">
        <v>21</v>
      </c>
      <c r="B16" s="4" t="s">
        <v>22</v>
      </c>
      <c r="C16" s="4" t="s">
        <v>23</v>
      </c>
      <c r="D16" s="4" t="s">
        <v>24</v>
      </c>
      <c r="E16" s="4" t="s">
        <v>24</v>
      </c>
      <c r="F16" s="4" t="s">
        <v>25</v>
      </c>
      <c r="G16" s="4" t="s">
        <v>25</v>
      </c>
      <c r="H16" s="4" t="s">
        <v>25</v>
      </c>
      <c r="I16" s="5">
        <v>44713</v>
      </c>
      <c r="J16" s="6">
        <v>0</v>
      </c>
      <c r="K16" s="6">
        <v>0</v>
      </c>
      <c r="L16" s="6">
        <v>286.87900000000002</v>
      </c>
      <c r="M16" s="6">
        <v>286.87900000000002</v>
      </c>
      <c r="N16" s="6">
        <v>286.87900000000002</v>
      </c>
      <c r="O16" s="6">
        <v>286.87900000000002</v>
      </c>
      <c r="P16" s="6">
        <v>1871</v>
      </c>
      <c r="Q16" s="4" t="s">
        <v>26</v>
      </c>
      <c r="R16" s="4">
        <v>0</v>
      </c>
      <c r="S16" s="6">
        <v>0</v>
      </c>
      <c r="T16" s="6">
        <v>21</v>
      </c>
      <c r="U16" s="6">
        <v>28</v>
      </c>
      <c r="V16" s="6">
        <f>IF(ISERROR(VLOOKUP($S$16,'TAR FIN'!$A$1:$O$73,15,0)),0,VLOOKUP($S$16,'TAR FIN'!$A$1:$O$73,15,0))</f>
        <v>0</v>
      </c>
      <c r="W16" s="6">
        <f>IF(ISERROR(VLOOKUP($T$16,'TAR FIN'!$A$1:$O$73,15,0)),0,VLOOKUP($T$16,'TAR FIN'!$A$1:$O$73,15,0))</f>
        <v>384.85</v>
      </c>
      <c r="X16" s="6">
        <f>IF(ISERROR(VLOOKUP($U$16,'TAR FIN'!$A$1:$O$73,15,0)),0,VLOOKUP($U$16,'TAR FIN'!$A$1:$O$73,15,0))</f>
        <v>248.09</v>
      </c>
      <c r="Y16" s="6"/>
      <c r="Z16" s="6">
        <f ca="1">('TUSD BE'!$AM$20+'TUSD BF'!$AM$20+'TUSD CVA'!$AM$20)*1</f>
        <v>486.0916419076849</v>
      </c>
      <c r="AA16" s="6">
        <f>('TE BE'!$AB$10+'TE BF'!$AB$10+'TE CVA'!$AB$10)*1</f>
        <v>192.10069561515587</v>
      </c>
      <c r="AB16" s="6">
        <f>$K$16*$V$16</f>
        <v>0</v>
      </c>
      <c r="AC16" s="6">
        <f>$M$16*$W$16</f>
        <v>110405.38315000001</v>
      </c>
      <c r="AD16" s="6">
        <f>$O$16*$X$16</f>
        <v>71171.81111000001</v>
      </c>
      <c r="AE16" s="6">
        <f>$K$16*$Y$16</f>
        <v>0</v>
      </c>
      <c r="AF16" s="6">
        <f ca="1">$M$16*$Z$16</f>
        <v>139449.48413883476</v>
      </c>
      <c r="AG16" s="6">
        <f>$O$16*$AA$16</f>
        <v>55109.655457380308</v>
      </c>
    </row>
    <row r="17" spans="1:33" ht="11.25" customHeight="1" x14ac:dyDescent="0.25">
      <c r="A17" s="4" t="s">
        <v>27</v>
      </c>
      <c r="B17" s="4" t="s">
        <v>22</v>
      </c>
      <c r="C17" s="4" t="s">
        <v>23</v>
      </c>
      <c r="D17" s="4" t="s">
        <v>24</v>
      </c>
      <c r="E17" s="4" t="s">
        <v>24</v>
      </c>
      <c r="F17" s="4" t="s">
        <v>25</v>
      </c>
      <c r="G17" s="4" t="s">
        <v>25</v>
      </c>
      <c r="H17" s="4" t="s">
        <v>25</v>
      </c>
      <c r="I17" s="5">
        <v>44713</v>
      </c>
      <c r="J17" s="6">
        <v>0</v>
      </c>
      <c r="K17" s="6">
        <v>0</v>
      </c>
      <c r="L17" s="6">
        <v>8.5860000000000003</v>
      </c>
      <c r="M17" s="6">
        <v>8.5860000000000003</v>
      </c>
      <c r="N17" s="6">
        <v>8.5860000000000003</v>
      </c>
      <c r="O17" s="6">
        <v>8.5860000000000003</v>
      </c>
      <c r="P17" s="6">
        <v>34</v>
      </c>
      <c r="Q17" s="4" t="s">
        <v>26</v>
      </c>
      <c r="R17" s="4">
        <v>0</v>
      </c>
      <c r="S17" s="6">
        <v>0</v>
      </c>
      <c r="T17" s="6">
        <v>21</v>
      </c>
      <c r="U17" s="6">
        <v>28</v>
      </c>
      <c r="V17" s="6">
        <f>IF(ISERROR(VLOOKUP($S$17,'TAR FIN'!$A$1:$O$73,15,0)),0,VLOOKUP($S$17,'TAR FIN'!$A$1:$O$73,15,0))</f>
        <v>0</v>
      </c>
      <c r="W17" s="6">
        <f>IF(ISERROR(VLOOKUP($T$17,'TAR FIN'!$A$1:$O$73,15,0)),0,VLOOKUP($T$17,'TAR FIN'!$A$1:$O$73,15,0))</f>
        <v>384.85</v>
      </c>
      <c r="X17" s="6">
        <f>IF(ISERROR(VLOOKUP($U$17,'TAR FIN'!$A$1:$O$73,15,0)),0,VLOOKUP($U$17,'TAR FIN'!$A$1:$O$73,15,0))</f>
        <v>248.09</v>
      </c>
      <c r="Y17" s="6"/>
      <c r="Z17" s="6">
        <f ca="1">('TUSD BE'!$AM$20+'TUSD BF'!$AM$20+'TUSD CVA'!$AM$20)*1</f>
        <v>486.0916419076849</v>
      </c>
      <c r="AA17" s="6">
        <f>('TE BE'!$AB$10+'TE BF'!$AB$10+'TE CVA'!$AB$10)*1</f>
        <v>192.10069561515587</v>
      </c>
      <c r="AB17" s="6">
        <f>$K$17*$V$17</f>
        <v>0</v>
      </c>
      <c r="AC17" s="6">
        <f>$M$17*$W$17</f>
        <v>3304.3221000000003</v>
      </c>
      <c r="AD17" s="6">
        <f>$O$17*$X$17</f>
        <v>2130.1007400000003</v>
      </c>
      <c r="AE17" s="6">
        <f>$K$17*$Y$17</f>
        <v>0</v>
      </c>
      <c r="AF17" s="6">
        <f ca="1">$M$17*$Z$17</f>
        <v>4173.5828374193825</v>
      </c>
      <c r="AG17" s="6">
        <f>$O$17*$AA$17</f>
        <v>1649.3765725517283</v>
      </c>
    </row>
    <row r="18" spans="1:33" ht="11.25" customHeight="1" x14ac:dyDescent="0.25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24</v>
      </c>
      <c r="F18" s="4" t="s">
        <v>25</v>
      </c>
      <c r="G18" s="4" t="s">
        <v>25</v>
      </c>
      <c r="H18" s="4" t="s">
        <v>25</v>
      </c>
      <c r="I18" s="5">
        <v>44743</v>
      </c>
      <c r="J18" s="6">
        <v>0</v>
      </c>
      <c r="K18" s="6">
        <v>0</v>
      </c>
      <c r="L18" s="6">
        <v>285.80099999999999</v>
      </c>
      <c r="M18" s="6">
        <v>285.80099999999999</v>
      </c>
      <c r="N18" s="6">
        <v>285.80099999999999</v>
      </c>
      <c r="O18" s="6">
        <v>285.80099999999999</v>
      </c>
      <c r="P18" s="6">
        <v>1881</v>
      </c>
      <c r="Q18" s="4" t="s">
        <v>26</v>
      </c>
      <c r="R18" s="4">
        <v>0</v>
      </c>
      <c r="S18" s="6">
        <v>0</v>
      </c>
      <c r="T18" s="6">
        <v>21</v>
      </c>
      <c r="U18" s="6">
        <v>28</v>
      </c>
      <c r="V18" s="6">
        <f>IF(ISERROR(VLOOKUP($S$18,'TAR FIN'!$A$1:$O$73,15,0)),0,VLOOKUP($S$18,'TAR FIN'!$A$1:$O$73,15,0))</f>
        <v>0</v>
      </c>
      <c r="W18" s="6">
        <f>IF(ISERROR(VLOOKUP($T$18,'TAR FIN'!$A$1:$O$73,15,0)),0,VLOOKUP($T$18,'TAR FIN'!$A$1:$O$73,15,0))</f>
        <v>384.85</v>
      </c>
      <c r="X18" s="6">
        <f>IF(ISERROR(VLOOKUP($U$18,'TAR FIN'!$A$1:$O$73,15,0)),0,VLOOKUP($U$18,'TAR FIN'!$A$1:$O$73,15,0))</f>
        <v>248.09</v>
      </c>
      <c r="Y18" s="6"/>
      <c r="Z18" s="6">
        <f ca="1">('TUSD BE'!$AM$20+'TUSD BF'!$AM$20+'TUSD CVA'!$AM$20)*1</f>
        <v>486.0916419076849</v>
      </c>
      <c r="AA18" s="6">
        <f>('TE BE'!$AB$10+'TE BF'!$AB$10+'TE CVA'!$AB$10)*1</f>
        <v>192.10069561515587</v>
      </c>
      <c r="AB18" s="6">
        <f>$K$18*$V$18</f>
        <v>0</v>
      </c>
      <c r="AC18" s="6">
        <f>$M$18*$W$18</f>
        <v>109990.51485000001</v>
      </c>
      <c r="AD18" s="6">
        <f>$O$18*$X$18</f>
        <v>70904.370089999997</v>
      </c>
      <c r="AE18" s="6">
        <f>$K$18*$Y$18</f>
        <v>0</v>
      </c>
      <c r="AF18" s="6">
        <f ca="1">$M$18*$Z$18</f>
        <v>138925.47734885826</v>
      </c>
      <c r="AG18" s="6">
        <f>$O$18*$AA$18</f>
        <v>54902.570907507157</v>
      </c>
    </row>
    <row r="19" spans="1:33" ht="11.25" customHeight="1" x14ac:dyDescent="0.25">
      <c r="A19" s="4" t="s">
        <v>27</v>
      </c>
      <c r="B19" s="4" t="s">
        <v>22</v>
      </c>
      <c r="C19" s="4" t="s">
        <v>23</v>
      </c>
      <c r="D19" s="4" t="s">
        <v>24</v>
      </c>
      <c r="E19" s="4" t="s">
        <v>24</v>
      </c>
      <c r="F19" s="4" t="s">
        <v>25</v>
      </c>
      <c r="G19" s="4" t="s">
        <v>25</v>
      </c>
      <c r="H19" s="4" t="s">
        <v>25</v>
      </c>
      <c r="I19" s="5">
        <v>44743</v>
      </c>
      <c r="J19" s="6">
        <v>0</v>
      </c>
      <c r="K19" s="6">
        <v>0</v>
      </c>
      <c r="L19" s="6">
        <v>7.8710000000000004</v>
      </c>
      <c r="M19" s="6">
        <v>7.8710000000000004</v>
      </c>
      <c r="N19" s="6">
        <v>7.8710000000000004</v>
      </c>
      <c r="O19" s="6">
        <v>7.8710000000000004</v>
      </c>
      <c r="P19" s="6">
        <v>36</v>
      </c>
      <c r="Q19" s="4" t="s">
        <v>26</v>
      </c>
      <c r="R19" s="4">
        <v>0</v>
      </c>
      <c r="S19" s="6">
        <v>0</v>
      </c>
      <c r="T19" s="6">
        <v>21</v>
      </c>
      <c r="U19" s="6">
        <v>28</v>
      </c>
      <c r="V19" s="6">
        <f>IF(ISERROR(VLOOKUP($S$19,'TAR FIN'!$A$1:$O$73,15,0)),0,VLOOKUP($S$19,'TAR FIN'!$A$1:$O$73,15,0))</f>
        <v>0</v>
      </c>
      <c r="W19" s="6">
        <f>IF(ISERROR(VLOOKUP($T$19,'TAR FIN'!$A$1:$O$73,15,0)),0,VLOOKUP($T$19,'TAR FIN'!$A$1:$O$73,15,0))</f>
        <v>384.85</v>
      </c>
      <c r="X19" s="6">
        <f>IF(ISERROR(VLOOKUP($U$19,'TAR FIN'!$A$1:$O$73,15,0)),0,VLOOKUP($U$19,'TAR FIN'!$A$1:$O$73,15,0))</f>
        <v>248.09</v>
      </c>
      <c r="Y19" s="6"/>
      <c r="Z19" s="6">
        <f ca="1">('TUSD BE'!$AM$20+'TUSD BF'!$AM$20+'TUSD CVA'!$AM$20)*1</f>
        <v>486.0916419076849</v>
      </c>
      <c r="AA19" s="6">
        <f>('TE BE'!$AB$10+'TE BF'!$AB$10+'TE CVA'!$AB$10)*1</f>
        <v>192.10069561515587</v>
      </c>
      <c r="AB19" s="6">
        <f>$K$19*$V$19</f>
        <v>0</v>
      </c>
      <c r="AC19" s="6">
        <f>$M$19*$W$19</f>
        <v>3029.1543500000002</v>
      </c>
      <c r="AD19" s="6">
        <f>$O$19*$X$19</f>
        <v>1952.71639</v>
      </c>
      <c r="AE19" s="6">
        <f>$K$19*$Y$19</f>
        <v>0</v>
      </c>
      <c r="AF19" s="6">
        <f ca="1">$M$19*$Z$19</f>
        <v>3826.0273134553881</v>
      </c>
      <c r="AG19" s="6">
        <f>$O$19*$AA$19</f>
        <v>1512.024575186892</v>
      </c>
    </row>
    <row r="20" spans="1:33" ht="11.25" customHeight="1" x14ac:dyDescent="0.25">
      <c r="A20" s="4" t="s">
        <v>21</v>
      </c>
      <c r="B20" s="4" t="s">
        <v>22</v>
      </c>
      <c r="C20" s="4" t="s">
        <v>23</v>
      </c>
      <c r="D20" s="4" t="s">
        <v>24</v>
      </c>
      <c r="E20" s="4" t="s">
        <v>24</v>
      </c>
      <c r="F20" s="4" t="s">
        <v>25</v>
      </c>
      <c r="G20" s="4" t="s">
        <v>25</v>
      </c>
      <c r="H20" s="4" t="s">
        <v>25</v>
      </c>
      <c r="I20" s="5">
        <v>44774</v>
      </c>
      <c r="J20" s="6">
        <v>0</v>
      </c>
      <c r="K20" s="6">
        <v>0</v>
      </c>
      <c r="L20" s="6">
        <v>280.48599999999999</v>
      </c>
      <c r="M20" s="6">
        <v>280.48599999999999</v>
      </c>
      <c r="N20" s="6">
        <v>280.48599999999999</v>
      </c>
      <c r="O20" s="6">
        <v>280.48599999999999</v>
      </c>
      <c r="P20" s="6">
        <v>1892</v>
      </c>
      <c r="Q20" s="4" t="s">
        <v>26</v>
      </c>
      <c r="R20" s="4">
        <v>0</v>
      </c>
      <c r="S20" s="6">
        <v>0</v>
      </c>
      <c r="T20" s="6">
        <v>21</v>
      </c>
      <c r="U20" s="6">
        <v>28</v>
      </c>
      <c r="V20" s="6">
        <f>IF(ISERROR(VLOOKUP($S$20,'TAR FIN'!$A$1:$O$73,15,0)),0,VLOOKUP($S$20,'TAR FIN'!$A$1:$O$73,15,0))</f>
        <v>0</v>
      </c>
      <c r="W20" s="6">
        <f>IF(ISERROR(VLOOKUP($T$20,'TAR FIN'!$A$1:$O$73,15,0)),0,VLOOKUP($T$20,'TAR FIN'!$A$1:$O$73,15,0))</f>
        <v>384.85</v>
      </c>
      <c r="X20" s="6">
        <f>IF(ISERROR(VLOOKUP($U$20,'TAR FIN'!$A$1:$O$73,15,0)),0,VLOOKUP($U$20,'TAR FIN'!$A$1:$O$73,15,0))</f>
        <v>248.09</v>
      </c>
      <c r="Y20" s="6"/>
      <c r="Z20" s="6">
        <f ca="1">('TUSD BE'!$AM$20+'TUSD BF'!$AM$20+'TUSD CVA'!$AM$20)*1</f>
        <v>486.0916419076849</v>
      </c>
      <c r="AA20" s="6">
        <f>('TE BE'!$AB$10+'TE BF'!$AB$10+'TE CVA'!$AB$10)*1</f>
        <v>192.10069561515587</v>
      </c>
      <c r="AB20" s="6">
        <f>$K$20*$V$20</f>
        <v>0</v>
      </c>
      <c r="AC20" s="6">
        <f>$M$20*$W$20</f>
        <v>107945.0371</v>
      </c>
      <c r="AD20" s="6">
        <f>$O$20*$X$20</f>
        <v>69585.771739999996</v>
      </c>
      <c r="AE20" s="6">
        <f>$K$20*$Y$20</f>
        <v>0</v>
      </c>
      <c r="AF20" s="6">
        <f ca="1">$M$20*$Z$20</f>
        <v>136341.90027211892</v>
      </c>
      <c r="AG20" s="6">
        <f>$O$20*$AA$20</f>
        <v>53881.555710312605</v>
      </c>
    </row>
    <row r="21" spans="1:33" ht="11.25" customHeight="1" x14ac:dyDescent="0.25">
      <c r="A21" s="4" t="s">
        <v>27</v>
      </c>
      <c r="B21" s="4" t="s">
        <v>22</v>
      </c>
      <c r="C21" s="4" t="s">
        <v>23</v>
      </c>
      <c r="D21" s="4" t="s">
        <v>24</v>
      </c>
      <c r="E21" s="4" t="s">
        <v>24</v>
      </c>
      <c r="F21" s="4" t="s">
        <v>25</v>
      </c>
      <c r="G21" s="4" t="s">
        <v>25</v>
      </c>
      <c r="H21" s="4" t="s">
        <v>25</v>
      </c>
      <c r="I21" s="5">
        <v>44774</v>
      </c>
      <c r="J21" s="6">
        <v>0</v>
      </c>
      <c r="K21" s="6">
        <v>0</v>
      </c>
      <c r="L21" s="6">
        <v>8.5500000000000007</v>
      </c>
      <c r="M21" s="6">
        <v>8.5500000000000007</v>
      </c>
      <c r="N21" s="6">
        <v>8.5500000000000007</v>
      </c>
      <c r="O21" s="6">
        <v>8.5500000000000007</v>
      </c>
      <c r="P21" s="6">
        <v>39</v>
      </c>
      <c r="Q21" s="4" t="s">
        <v>26</v>
      </c>
      <c r="R21" s="4">
        <v>0</v>
      </c>
      <c r="S21" s="6">
        <v>0</v>
      </c>
      <c r="T21" s="6">
        <v>21</v>
      </c>
      <c r="U21" s="6">
        <v>28</v>
      </c>
      <c r="V21" s="6">
        <f>IF(ISERROR(VLOOKUP($S$21,'TAR FIN'!$A$1:$O$73,15,0)),0,VLOOKUP($S$21,'TAR FIN'!$A$1:$O$73,15,0))</f>
        <v>0</v>
      </c>
      <c r="W21" s="6">
        <f>IF(ISERROR(VLOOKUP($T$21,'TAR FIN'!$A$1:$O$73,15,0)),0,VLOOKUP($T$21,'TAR FIN'!$A$1:$O$73,15,0))</f>
        <v>384.85</v>
      </c>
      <c r="X21" s="6">
        <f>IF(ISERROR(VLOOKUP($U$21,'TAR FIN'!$A$1:$O$73,15,0)),0,VLOOKUP($U$21,'TAR FIN'!$A$1:$O$73,15,0))</f>
        <v>248.09</v>
      </c>
      <c r="Y21" s="6"/>
      <c r="Z21" s="6">
        <f ca="1">('TUSD BE'!$AM$20+'TUSD BF'!$AM$20+'TUSD CVA'!$AM$20)*1</f>
        <v>486.0916419076849</v>
      </c>
      <c r="AA21" s="6">
        <f>('TE BE'!$AB$10+'TE BF'!$AB$10+'TE CVA'!$AB$10)*1</f>
        <v>192.10069561515587</v>
      </c>
      <c r="AB21" s="6">
        <f>$K$21*$V$21</f>
        <v>0</v>
      </c>
      <c r="AC21" s="6">
        <f>$M$21*$W$21</f>
        <v>3290.4675000000007</v>
      </c>
      <c r="AD21" s="6">
        <f>$O$21*$X$21</f>
        <v>2121.1695000000004</v>
      </c>
      <c r="AE21" s="6">
        <f>$K$21*$Y$21</f>
        <v>0</v>
      </c>
      <c r="AF21" s="6">
        <f ca="1">$M$21*$Z$21</f>
        <v>4156.083538310706</v>
      </c>
      <c r="AG21" s="6">
        <f>$O$21*$AA$21</f>
        <v>1642.4609475095829</v>
      </c>
    </row>
    <row r="22" spans="1:33" ht="11.25" customHeight="1" x14ac:dyDescent="0.25">
      <c r="A22" s="4" t="s">
        <v>21</v>
      </c>
      <c r="B22" s="4" t="s">
        <v>22</v>
      </c>
      <c r="C22" s="4" t="s">
        <v>23</v>
      </c>
      <c r="D22" s="4" t="s">
        <v>24</v>
      </c>
      <c r="E22" s="4" t="s">
        <v>24</v>
      </c>
      <c r="F22" s="4" t="s">
        <v>25</v>
      </c>
      <c r="G22" s="4" t="s">
        <v>25</v>
      </c>
      <c r="H22" s="4" t="s">
        <v>25</v>
      </c>
      <c r="I22" s="5">
        <v>44805</v>
      </c>
      <c r="J22" s="6">
        <v>0</v>
      </c>
      <c r="K22" s="6">
        <v>0</v>
      </c>
      <c r="L22" s="6">
        <v>294.01400000000001</v>
      </c>
      <c r="M22" s="6">
        <v>294.01400000000001</v>
      </c>
      <c r="N22" s="6">
        <v>294.01400000000001</v>
      </c>
      <c r="O22" s="6">
        <v>294.01400000000001</v>
      </c>
      <c r="P22" s="6">
        <v>1897</v>
      </c>
      <c r="Q22" s="4" t="s">
        <v>26</v>
      </c>
      <c r="R22" s="4">
        <v>0</v>
      </c>
      <c r="S22" s="6">
        <v>0</v>
      </c>
      <c r="T22" s="6">
        <v>21</v>
      </c>
      <c r="U22" s="6">
        <v>28</v>
      </c>
      <c r="V22" s="6">
        <f>IF(ISERROR(VLOOKUP($S$22,'TAR FIN'!$A$1:$O$73,15,0)),0,VLOOKUP($S$22,'TAR FIN'!$A$1:$O$73,15,0))</f>
        <v>0</v>
      </c>
      <c r="W22" s="6">
        <f>IF(ISERROR(VLOOKUP($T$22,'TAR FIN'!$A$1:$O$73,15,0)),0,VLOOKUP($T$22,'TAR FIN'!$A$1:$O$73,15,0))</f>
        <v>384.85</v>
      </c>
      <c r="X22" s="6">
        <f>IF(ISERROR(VLOOKUP($U$22,'TAR FIN'!$A$1:$O$73,15,0)),0,VLOOKUP($U$22,'TAR FIN'!$A$1:$O$73,15,0))</f>
        <v>248.09</v>
      </c>
      <c r="Y22" s="6"/>
      <c r="Z22" s="6">
        <f ca="1">('TUSD BE'!$AM$20+'TUSD BF'!$AM$20+'TUSD CVA'!$AM$20)*1</f>
        <v>486.0916419076849</v>
      </c>
      <c r="AA22" s="6">
        <f>('TE BE'!$AB$10+'TE BF'!$AB$10+'TE CVA'!$AB$10)*1</f>
        <v>192.10069561515587</v>
      </c>
      <c r="AB22" s="6">
        <f>$K$22*$V$22</f>
        <v>0</v>
      </c>
      <c r="AC22" s="6">
        <f>$M$22*$W$22</f>
        <v>113151.28790000001</v>
      </c>
      <c r="AD22" s="6">
        <f>$O$22*$X$22</f>
        <v>72941.933260000005</v>
      </c>
      <c r="AE22" s="6">
        <f>$K$22*$Y$22</f>
        <v>0</v>
      </c>
      <c r="AF22" s="6">
        <f ca="1">$M$22*$Z$22</f>
        <v>142917.74800384606</v>
      </c>
      <c r="AG22" s="6">
        <f>$O$22*$AA$22</f>
        <v>56480.293920594442</v>
      </c>
    </row>
    <row r="23" spans="1:33" ht="11.25" customHeight="1" x14ac:dyDescent="0.25">
      <c r="A23" s="4" t="s">
        <v>27</v>
      </c>
      <c r="B23" s="4" t="s">
        <v>22</v>
      </c>
      <c r="C23" s="4" t="s">
        <v>23</v>
      </c>
      <c r="D23" s="4" t="s">
        <v>24</v>
      </c>
      <c r="E23" s="4" t="s">
        <v>24</v>
      </c>
      <c r="F23" s="4" t="s">
        <v>25</v>
      </c>
      <c r="G23" s="4" t="s">
        <v>25</v>
      </c>
      <c r="H23" s="4" t="s">
        <v>25</v>
      </c>
      <c r="I23" s="5">
        <v>44805</v>
      </c>
      <c r="J23" s="6">
        <v>0</v>
      </c>
      <c r="K23" s="6">
        <v>0</v>
      </c>
      <c r="L23" s="6">
        <v>10.83</v>
      </c>
      <c r="M23" s="6">
        <v>10.83</v>
      </c>
      <c r="N23" s="6">
        <v>10.83</v>
      </c>
      <c r="O23" s="6">
        <v>10.83</v>
      </c>
      <c r="P23" s="6">
        <v>40</v>
      </c>
      <c r="Q23" s="4" t="s">
        <v>26</v>
      </c>
      <c r="R23" s="4">
        <v>0</v>
      </c>
      <c r="S23" s="6">
        <v>0</v>
      </c>
      <c r="T23" s="6">
        <v>21</v>
      </c>
      <c r="U23" s="6">
        <v>28</v>
      </c>
      <c r="V23" s="6">
        <f>IF(ISERROR(VLOOKUP($S$23,'TAR FIN'!$A$1:$O$73,15,0)),0,VLOOKUP($S$23,'TAR FIN'!$A$1:$O$73,15,0))</f>
        <v>0</v>
      </c>
      <c r="W23" s="6">
        <f>IF(ISERROR(VLOOKUP($T$23,'TAR FIN'!$A$1:$O$73,15,0)),0,VLOOKUP($T$23,'TAR FIN'!$A$1:$O$73,15,0))</f>
        <v>384.85</v>
      </c>
      <c r="X23" s="6">
        <f>IF(ISERROR(VLOOKUP($U$23,'TAR FIN'!$A$1:$O$73,15,0)),0,VLOOKUP($U$23,'TAR FIN'!$A$1:$O$73,15,0))</f>
        <v>248.09</v>
      </c>
      <c r="Y23" s="6"/>
      <c r="Z23" s="6">
        <f ca="1">('TUSD BE'!$AM$20+'TUSD BF'!$AM$20+'TUSD CVA'!$AM$20)*1</f>
        <v>486.0916419076849</v>
      </c>
      <c r="AA23" s="6">
        <f>('TE BE'!$AB$10+'TE BF'!$AB$10+'TE CVA'!$AB$10)*1</f>
        <v>192.10069561515587</v>
      </c>
      <c r="AB23" s="6">
        <f>$K$23*$V$23</f>
        <v>0</v>
      </c>
      <c r="AC23" s="6">
        <f>$M$23*$W$23</f>
        <v>4167.9255000000003</v>
      </c>
      <c r="AD23" s="6">
        <f>$O$23*$X$23</f>
        <v>2686.8146999999999</v>
      </c>
      <c r="AE23" s="6">
        <f>$K$23*$Y$23</f>
        <v>0</v>
      </c>
      <c r="AF23" s="6">
        <f ca="1">$M$23*$Z$23</f>
        <v>5264.3724818602277</v>
      </c>
      <c r="AG23" s="6">
        <f>$O$23*$AA$23</f>
        <v>2080.450533512138</v>
      </c>
    </row>
    <row r="24" spans="1:33" ht="11.25" customHeight="1" x14ac:dyDescent="0.25">
      <c r="A24" s="4" t="s">
        <v>21</v>
      </c>
      <c r="B24" s="4" t="s">
        <v>22</v>
      </c>
      <c r="C24" s="4" t="s">
        <v>23</v>
      </c>
      <c r="D24" s="4" t="s">
        <v>24</v>
      </c>
      <c r="E24" s="4" t="s">
        <v>24</v>
      </c>
      <c r="F24" s="4" t="s">
        <v>25</v>
      </c>
      <c r="G24" s="4" t="s">
        <v>25</v>
      </c>
      <c r="H24" s="4" t="s">
        <v>25</v>
      </c>
      <c r="I24" s="5">
        <v>44835</v>
      </c>
      <c r="J24" s="6">
        <v>0</v>
      </c>
      <c r="K24" s="6">
        <v>0</v>
      </c>
      <c r="L24" s="6">
        <v>282.69299999999998</v>
      </c>
      <c r="M24" s="6">
        <v>282.69299999999998</v>
      </c>
      <c r="N24" s="6">
        <v>282.69299999999998</v>
      </c>
      <c r="O24" s="6">
        <v>282.69299999999998</v>
      </c>
      <c r="P24" s="6">
        <v>1906</v>
      </c>
      <c r="Q24" s="4" t="s">
        <v>26</v>
      </c>
      <c r="R24" s="4">
        <v>0</v>
      </c>
      <c r="S24" s="6">
        <v>0</v>
      </c>
      <c r="T24" s="6">
        <v>21</v>
      </c>
      <c r="U24" s="6">
        <v>28</v>
      </c>
      <c r="V24" s="6">
        <f>IF(ISERROR(VLOOKUP($S$24,'TAR FIN'!$A$1:$O$73,15,0)),0,VLOOKUP($S$24,'TAR FIN'!$A$1:$O$73,15,0))</f>
        <v>0</v>
      </c>
      <c r="W24" s="6">
        <f>IF(ISERROR(VLOOKUP($T$24,'TAR FIN'!$A$1:$O$73,15,0)),0,VLOOKUP($T$24,'TAR FIN'!$A$1:$O$73,15,0))</f>
        <v>384.85</v>
      </c>
      <c r="X24" s="6">
        <f>IF(ISERROR(VLOOKUP($U$24,'TAR FIN'!$A$1:$O$73,15,0)),0,VLOOKUP($U$24,'TAR FIN'!$A$1:$O$73,15,0))</f>
        <v>248.09</v>
      </c>
      <c r="Y24" s="6"/>
      <c r="Z24" s="6">
        <f ca="1">('TUSD BE'!$AM$20+'TUSD BF'!$AM$20+'TUSD CVA'!$AM$20)*1</f>
        <v>486.0916419076849</v>
      </c>
      <c r="AA24" s="6">
        <f>('TE BE'!$AB$10+'TE BF'!$AB$10+'TE CVA'!$AB$10)*1</f>
        <v>192.10069561515587</v>
      </c>
      <c r="AB24" s="6">
        <f>$K$24*$V$24</f>
        <v>0</v>
      </c>
      <c r="AC24" s="6">
        <f>$M$24*$W$24</f>
        <v>108794.40105</v>
      </c>
      <c r="AD24" s="6">
        <f>$O$24*$X$24</f>
        <v>70133.306369999991</v>
      </c>
      <c r="AE24" s="6">
        <f>$K$24*$Y$24</f>
        <v>0</v>
      </c>
      <c r="AF24" s="6">
        <f ca="1">$M$24*$Z$24</f>
        <v>137414.70452580915</v>
      </c>
      <c r="AG24" s="6">
        <f>$O$24*$AA$24</f>
        <v>54305.521945535256</v>
      </c>
    </row>
    <row r="25" spans="1:33" ht="11.25" customHeight="1" x14ac:dyDescent="0.25">
      <c r="A25" s="4" t="s">
        <v>27</v>
      </c>
      <c r="B25" s="4" t="s">
        <v>22</v>
      </c>
      <c r="C25" s="4" t="s">
        <v>23</v>
      </c>
      <c r="D25" s="4" t="s">
        <v>24</v>
      </c>
      <c r="E25" s="4" t="s">
        <v>24</v>
      </c>
      <c r="F25" s="4" t="s">
        <v>25</v>
      </c>
      <c r="G25" s="4" t="s">
        <v>25</v>
      </c>
      <c r="H25" s="4" t="s">
        <v>25</v>
      </c>
      <c r="I25" s="5">
        <v>44835</v>
      </c>
      <c r="J25" s="6">
        <v>0</v>
      </c>
      <c r="K25" s="6">
        <v>0</v>
      </c>
      <c r="L25" s="6">
        <v>10.340999999999999</v>
      </c>
      <c r="M25" s="6">
        <v>10.340999999999999</v>
      </c>
      <c r="N25" s="6">
        <v>10.340999999999999</v>
      </c>
      <c r="O25" s="6">
        <v>10.340999999999999</v>
      </c>
      <c r="P25" s="6">
        <v>41</v>
      </c>
      <c r="Q25" s="4" t="s">
        <v>26</v>
      </c>
      <c r="R25" s="4">
        <v>0</v>
      </c>
      <c r="S25" s="6">
        <v>0</v>
      </c>
      <c r="T25" s="6">
        <v>21</v>
      </c>
      <c r="U25" s="6">
        <v>28</v>
      </c>
      <c r="V25" s="6">
        <f>IF(ISERROR(VLOOKUP($S$25,'TAR FIN'!$A$1:$O$73,15,0)),0,VLOOKUP($S$25,'TAR FIN'!$A$1:$O$73,15,0))</f>
        <v>0</v>
      </c>
      <c r="W25" s="6">
        <f>IF(ISERROR(VLOOKUP($T$25,'TAR FIN'!$A$1:$O$73,15,0)),0,VLOOKUP($T$25,'TAR FIN'!$A$1:$O$73,15,0))</f>
        <v>384.85</v>
      </c>
      <c r="X25" s="6">
        <f>IF(ISERROR(VLOOKUP($U$25,'TAR FIN'!$A$1:$O$73,15,0)),0,VLOOKUP($U$25,'TAR FIN'!$A$1:$O$73,15,0))</f>
        <v>248.09</v>
      </c>
      <c r="Y25" s="6"/>
      <c r="Z25" s="6">
        <f ca="1">('TUSD BE'!$AM$20+'TUSD BF'!$AM$20+'TUSD CVA'!$AM$20)*1</f>
        <v>486.0916419076849</v>
      </c>
      <c r="AA25" s="6">
        <f>('TE BE'!$AB$10+'TE BF'!$AB$10+'TE CVA'!$AB$10)*1</f>
        <v>192.10069561515587</v>
      </c>
      <c r="AB25" s="6">
        <f>$K$25*$V$25</f>
        <v>0</v>
      </c>
      <c r="AC25" s="6">
        <f>$M$25*$W$25</f>
        <v>3979.7338500000001</v>
      </c>
      <c r="AD25" s="6">
        <f>$O$25*$X$25</f>
        <v>2565.4986899999999</v>
      </c>
      <c r="AE25" s="6">
        <f>$K$25*$Y$25</f>
        <v>0</v>
      </c>
      <c r="AF25" s="6">
        <f ca="1">$M$25*$Z$25</f>
        <v>5026.6736689673689</v>
      </c>
      <c r="AG25" s="6">
        <f>$O$25*$AA$25</f>
        <v>1986.5132933563268</v>
      </c>
    </row>
    <row r="26" spans="1:33" ht="11.25" customHeight="1" x14ac:dyDescent="0.25">
      <c r="A26" s="4" t="s">
        <v>21</v>
      </c>
      <c r="B26" s="4" t="s">
        <v>22</v>
      </c>
      <c r="C26" s="4" t="s">
        <v>23</v>
      </c>
      <c r="D26" s="4" t="s">
        <v>24</v>
      </c>
      <c r="E26" s="4" t="s">
        <v>41</v>
      </c>
      <c r="F26" s="4" t="s">
        <v>25</v>
      </c>
      <c r="G26" s="4" t="s">
        <v>25</v>
      </c>
      <c r="H26" s="4" t="s">
        <v>25</v>
      </c>
      <c r="I26" s="5">
        <v>44562</v>
      </c>
      <c r="J26" s="6">
        <v>0</v>
      </c>
      <c r="K26" s="6">
        <v>0</v>
      </c>
      <c r="L26" s="6">
        <v>0.03</v>
      </c>
      <c r="M26" s="6">
        <v>0.03</v>
      </c>
      <c r="N26" s="6">
        <v>0.03</v>
      </c>
      <c r="O26" s="6">
        <v>0.03</v>
      </c>
      <c r="P26" s="6">
        <v>1</v>
      </c>
      <c r="Q26" s="4" t="s">
        <v>26</v>
      </c>
      <c r="R26" s="4">
        <v>0</v>
      </c>
      <c r="S26" s="6">
        <v>0</v>
      </c>
      <c r="T26" s="6">
        <v>3</v>
      </c>
      <c r="U26" s="6">
        <v>30</v>
      </c>
      <c r="V26" s="6">
        <f>IF(ISERROR(VLOOKUP($S$26,'TAR FIN'!$A$1:$O$73,15,0)),0,VLOOKUP($S$26,'TAR FIN'!$A$1:$O$73,15,0))</f>
        <v>0</v>
      </c>
      <c r="W26" s="6">
        <f>IF(ISERROR(VLOOKUP($T$26,'TAR FIN'!$A$1:$O$73,15,0)),0,VLOOKUP($T$26,'TAR FIN'!$A$1:$O$73,15,0))</f>
        <v>103.03</v>
      </c>
      <c r="X26" s="6">
        <f>IF(ISERROR(VLOOKUP($U$26,'TAR FIN'!$A$1:$O$73,15,0)),0,VLOOKUP($U$26,'TAR FIN'!$A$1:$O$73,15,0))</f>
        <v>86.83</v>
      </c>
      <c r="Y26" s="6"/>
      <c r="Z26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26" s="6">
        <f>('TE BE'!$AB$11+'TE BF'!$AB$11+'TE CVA'!$AB$11)*(1-CUSTOS!$M$34)</f>
        <v>67.235243465304549</v>
      </c>
      <c r="AB26" s="6">
        <f>$K$26*$V$26</f>
        <v>0</v>
      </c>
      <c r="AC26" s="6">
        <f>$M$26*$W$26</f>
        <v>3.0909</v>
      </c>
      <c r="AD26" s="6">
        <f>$O$26*$X$26</f>
        <v>2.6048999999999998</v>
      </c>
      <c r="AE26" s="6">
        <f>$K$26*$Y$26</f>
        <v>0</v>
      </c>
      <c r="AF26" s="6">
        <f ca="1">$M$26*$Z$26</f>
        <v>3.6973696578000776</v>
      </c>
      <c r="AG26" s="6">
        <f>$O$26*$AA$26</f>
        <v>2.0170573039591364</v>
      </c>
    </row>
    <row r="27" spans="1:33" ht="11.25" customHeight="1" x14ac:dyDescent="0.25">
      <c r="A27" s="4" t="s">
        <v>21</v>
      </c>
      <c r="B27" s="4" t="s">
        <v>22</v>
      </c>
      <c r="C27" s="4" t="s">
        <v>23</v>
      </c>
      <c r="D27" s="4" t="s">
        <v>24</v>
      </c>
      <c r="E27" s="4" t="s">
        <v>41</v>
      </c>
      <c r="F27" s="4" t="s">
        <v>25</v>
      </c>
      <c r="G27" s="4" t="s">
        <v>25</v>
      </c>
      <c r="H27" s="4" t="s">
        <v>25</v>
      </c>
      <c r="I27" s="5">
        <v>44593</v>
      </c>
      <c r="J27" s="6">
        <v>0</v>
      </c>
      <c r="K27" s="6">
        <v>0</v>
      </c>
      <c r="L27" s="6">
        <v>0.03</v>
      </c>
      <c r="M27" s="6">
        <v>0.03</v>
      </c>
      <c r="N27" s="6">
        <v>0.03</v>
      </c>
      <c r="O27" s="6">
        <v>0.03</v>
      </c>
      <c r="P27" s="6">
        <v>1</v>
      </c>
      <c r="Q27" s="4" t="s">
        <v>26</v>
      </c>
      <c r="R27" s="4">
        <v>0</v>
      </c>
      <c r="S27" s="6">
        <v>0</v>
      </c>
      <c r="T27" s="6">
        <v>3</v>
      </c>
      <c r="U27" s="6">
        <v>30</v>
      </c>
      <c r="V27" s="6">
        <f>IF(ISERROR(VLOOKUP($S$27,'TAR FIN'!$A$1:$O$73,15,0)),0,VLOOKUP($S$27,'TAR FIN'!$A$1:$O$73,15,0))</f>
        <v>0</v>
      </c>
      <c r="W27" s="6">
        <f>IF(ISERROR(VLOOKUP($T$27,'TAR FIN'!$A$1:$O$73,15,0)),0,VLOOKUP($T$27,'TAR FIN'!$A$1:$O$73,15,0))</f>
        <v>103.03</v>
      </c>
      <c r="X27" s="6">
        <f>IF(ISERROR(VLOOKUP($U$27,'TAR FIN'!$A$1:$O$73,15,0)),0,VLOOKUP($U$27,'TAR FIN'!$A$1:$O$73,15,0))</f>
        <v>86.83</v>
      </c>
      <c r="Y27" s="6"/>
      <c r="Z27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27" s="6">
        <f>('TE BE'!$AB$11+'TE BF'!$AB$11+'TE CVA'!$AB$11)*(1-CUSTOS!$M$34)</f>
        <v>67.235243465304549</v>
      </c>
      <c r="AB27" s="6">
        <f>$K$27*$V$27</f>
        <v>0</v>
      </c>
      <c r="AC27" s="6">
        <f>$M$27*$W$27</f>
        <v>3.0909</v>
      </c>
      <c r="AD27" s="6">
        <f>$O$27*$X$27</f>
        <v>2.6048999999999998</v>
      </c>
      <c r="AE27" s="6">
        <f>$K$27*$Y$27</f>
        <v>0</v>
      </c>
      <c r="AF27" s="6">
        <f ca="1">$M$27*$Z$27</f>
        <v>3.6973696578000776</v>
      </c>
      <c r="AG27" s="6">
        <f>$O$27*$AA$27</f>
        <v>2.0170573039591364</v>
      </c>
    </row>
    <row r="28" spans="1:33" ht="11.25" customHeight="1" x14ac:dyDescent="0.25">
      <c r="A28" s="4" t="s">
        <v>21</v>
      </c>
      <c r="B28" s="4" t="s">
        <v>22</v>
      </c>
      <c r="C28" s="4" t="s">
        <v>23</v>
      </c>
      <c r="D28" s="4" t="s">
        <v>24</v>
      </c>
      <c r="E28" s="4" t="s">
        <v>41</v>
      </c>
      <c r="F28" s="4" t="s">
        <v>25</v>
      </c>
      <c r="G28" s="4" t="s">
        <v>25</v>
      </c>
      <c r="H28" s="4" t="s">
        <v>25</v>
      </c>
      <c r="I28" s="5">
        <v>44621</v>
      </c>
      <c r="J28" s="6">
        <v>0</v>
      </c>
      <c r="K28" s="6">
        <v>0</v>
      </c>
      <c r="L28" s="6">
        <v>0.06</v>
      </c>
      <c r="M28" s="6">
        <v>0.06</v>
      </c>
      <c r="N28" s="6">
        <v>0.06</v>
      </c>
      <c r="O28" s="6">
        <v>0.06</v>
      </c>
      <c r="P28" s="6">
        <v>2</v>
      </c>
      <c r="Q28" s="4" t="s">
        <v>26</v>
      </c>
      <c r="R28" s="4">
        <v>0</v>
      </c>
      <c r="S28" s="6">
        <v>0</v>
      </c>
      <c r="T28" s="6">
        <v>3</v>
      </c>
      <c r="U28" s="6">
        <v>30</v>
      </c>
      <c r="V28" s="6">
        <f>IF(ISERROR(VLOOKUP($S$28,'TAR FIN'!$A$1:$O$73,15,0)),0,VLOOKUP($S$28,'TAR FIN'!$A$1:$O$73,15,0))</f>
        <v>0</v>
      </c>
      <c r="W28" s="6">
        <f>IF(ISERROR(VLOOKUP($T$28,'TAR FIN'!$A$1:$O$73,15,0)),0,VLOOKUP($T$28,'TAR FIN'!$A$1:$O$73,15,0))</f>
        <v>103.03</v>
      </c>
      <c r="X28" s="6">
        <f>IF(ISERROR(VLOOKUP($U$28,'TAR FIN'!$A$1:$O$73,15,0)),0,VLOOKUP($U$28,'TAR FIN'!$A$1:$O$73,15,0))</f>
        <v>86.83</v>
      </c>
      <c r="Y28" s="6"/>
      <c r="Z28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28" s="6">
        <f>('TE BE'!$AB$11+'TE BF'!$AB$11+'TE CVA'!$AB$11)*(1-CUSTOS!$M$34)</f>
        <v>67.235243465304549</v>
      </c>
      <c r="AB28" s="6">
        <f>$K$28*$V$28</f>
        <v>0</v>
      </c>
      <c r="AC28" s="6">
        <f>$M$28*$W$28</f>
        <v>6.1818</v>
      </c>
      <c r="AD28" s="6">
        <f>$O$28*$X$28</f>
        <v>5.2097999999999995</v>
      </c>
      <c r="AE28" s="6">
        <f>$K$28*$Y$28</f>
        <v>0</v>
      </c>
      <c r="AF28" s="6">
        <f ca="1">$M$28*$Z$28</f>
        <v>7.3947393156001553</v>
      </c>
      <c r="AG28" s="6">
        <f>$O$28*$AA$28</f>
        <v>4.0341146079182728</v>
      </c>
    </row>
    <row r="29" spans="1:33" ht="11.25" customHeight="1" x14ac:dyDescent="0.25">
      <c r="A29" s="4" t="s">
        <v>21</v>
      </c>
      <c r="B29" s="4" t="s">
        <v>22</v>
      </c>
      <c r="C29" s="4" t="s">
        <v>23</v>
      </c>
      <c r="D29" s="4" t="s">
        <v>24</v>
      </c>
      <c r="E29" s="4" t="s">
        <v>41</v>
      </c>
      <c r="F29" s="4" t="s">
        <v>25</v>
      </c>
      <c r="G29" s="4" t="s">
        <v>25</v>
      </c>
      <c r="H29" s="4" t="s">
        <v>25</v>
      </c>
      <c r="I29" s="5">
        <v>44652</v>
      </c>
      <c r="J29" s="6">
        <v>0</v>
      </c>
      <c r="K29" s="6">
        <v>0</v>
      </c>
      <c r="L29" s="6">
        <v>0.03</v>
      </c>
      <c r="M29" s="6">
        <v>0.03</v>
      </c>
      <c r="N29" s="6">
        <v>0.03</v>
      </c>
      <c r="O29" s="6">
        <v>0.03</v>
      </c>
      <c r="P29" s="6">
        <v>1</v>
      </c>
      <c r="Q29" s="4" t="s">
        <v>26</v>
      </c>
      <c r="R29" s="4">
        <v>0</v>
      </c>
      <c r="S29" s="6">
        <v>0</v>
      </c>
      <c r="T29" s="6">
        <v>3</v>
      </c>
      <c r="U29" s="6">
        <v>30</v>
      </c>
      <c r="V29" s="6">
        <f>IF(ISERROR(VLOOKUP($S$29,'TAR FIN'!$A$1:$O$73,15,0)),0,VLOOKUP($S$29,'TAR FIN'!$A$1:$O$73,15,0))</f>
        <v>0</v>
      </c>
      <c r="W29" s="6">
        <f>IF(ISERROR(VLOOKUP($T$29,'TAR FIN'!$A$1:$O$73,15,0)),0,VLOOKUP($T$29,'TAR FIN'!$A$1:$O$73,15,0))</f>
        <v>103.03</v>
      </c>
      <c r="X29" s="6">
        <f>IF(ISERROR(VLOOKUP($U$29,'TAR FIN'!$A$1:$O$73,15,0)),0,VLOOKUP($U$29,'TAR FIN'!$A$1:$O$73,15,0))</f>
        <v>86.83</v>
      </c>
      <c r="Y29" s="6"/>
      <c r="Z29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29" s="6">
        <f>('TE BE'!$AB$11+'TE BF'!$AB$11+'TE CVA'!$AB$11)*(1-CUSTOS!$M$34)</f>
        <v>67.235243465304549</v>
      </c>
      <c r="AB29" s="6">
        <f>$K$29*$V$29</f>
        <v>0</v>
      </c>
      <c r="AC29" s="6">
        <f>$M$29*$W$29</f>
        <v>3.0909</v>
      </c>
      <c r="AD29" s="6">
        <f>$O$29*$X$29</f>
        <v>2.6048999999999998</v>
      </c>
      <c r="AE29" s="6">
        <f>$K$29*$Y$29</f>
        <v>0</v>
      </c>
      <c r="AF29" s="6">
        <f ca="1">$M$29*$Z$29</f>
        <v>3.6973696578000776</v>
      </c>
      <c r="AG29" s="6">
        <f>$O$29*$AA$29</f>
        <v>2.0170573039591364</v>
      </c>
    </row>
    <row r="30" spans="1:33" ht="11.25" customHeight="1" x14ac:dyDescent="0.25">
      <c r="A30" s="4" t="s">
        <v>21</v>
      </c>
      <c r="B30" s="4" t="s">
        <v>22</v>
      </c>
      <c r="C30" s="4" t="s">
        <v>23</v>
      </c>
      <c r="D30" s="4" t="s">
        <v>24</v>
      </c>
      <c r="E30" s="4" t="s">
        <v>41</v>
      </c>
      <c r="F30" s="4" t="s">
        <v>25</v>
      </c>
      <c r="G30" s="4" t="s">
        <v>25</v>
      </c>
      <c r="H30" s="4" t="s">
        <v>25</v>
      </c>
      <c r="I30" s="5">
        <v>44682</v>
      </c>
      <c r="J30" s="6">
        <v>0</v>
      </c>
      <c r="K30" s="6">
        <v>0</v>
      </c>
      <c r="L30" s="6">
        <v>0.03</v>
      </c>
      <c r="M30" s="6">
        <v>0.03</v>
      </c>
      <c r="N30" s="6">
        <v>0.03</v>
      </c>
      <c r="O30" s="6">
        <v>0.03</v>
      </c>
      <c r="P30" s="6">
        <v>1</v>
      </c>
      <c r="Q30" s="4" t="s">
        <v>26</v>
      </c>
      <c r="R30" s="4">
        <v>0</v>
      </c>
      <c r="S30" s="6">
        <v>0</v>
      </c>
      <c r="T30" s="6">
        <v>3</v>
      </c>
      <c r="U30" s="6">
        <v>30</v>
      </c>
      <c r="V30" s="6">
        <f>IF(ISERROR(VLOOKUP($S$30,'TAR FIN'!$A$1:$O$73,15,0)),0,VLOOKUP($S$30,'TAR FIN'!$A$1:$O$73,15,0))</f>
        <v>0</v>
      </c>
      <c r="W30" s="6">
        <f>IF(ISERROR(VLOOKUP($T$30,'TAR FIN'!$A$1:$O$73,15,0)),0,VLOOKUP($T$30,'TAR FIN'!$A$1:$O$73,15,0))</f>
        <v>103.03</v>
      </c>
      <c r="X30" s="6">
        <f>IF(ISERROR(VLOOKUP($U$30,'TAR FIN'!$A$1:$O$73,15,0)),0,VLOOKUP($U$30,'TAR FIN'!$A$1:$O$73,15,0))</f>
        <v>86.83</v>
      </c>
      <c r="Y30" s="6"/>
      <c r="Z30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30" s="6">
        <f>('TE BE'!$AB$11+'TE BF'!$AB$11+'TE CVA'!$AB$11)*(1-CUSTOS!$M$34)</f>
        <v>67.235243465304549</v>
      </c>
      <c r="AB30" s="6">
        <f>$K$30*$V$30</f>
        <v>0</v>
      </c>
      <c r="AC30" s="6">
        <f>$M$30*$W$30</f>
        <v>3.0909</v>
      </c>
      <c r="AD30" s="6">
        <f>$O$30*$X$30</f>
        <v>2.6048999999999998</v>
      </c>
      <c r="AE30" s="6">
        <f>$K$30*$Y$30</f>
        <v>0</v>
      </c>
      <c r="AF30" s="6">
        <f ca="1">$M$30*$Z$30</f>
        <v>3.6973696578000776</v>
      </c>
      <c r="AG30" s="6">
        <f>$O$30*$AA$30</f>
        <v>2.0170573039591364</v>
      </c>
    </row>
    <row r="31" spans="1:33" ht="11.25" customHeight="1" x14ac:dyDescent="0.25">
      <c r="A31" s="4" t="s">
        <v>21</v>
      </c>
      <c r="B31" s="4" t="s">
        <v>22</v>
      </c>
      <c r="C31" s="4" t="s">
        <v>23</v>
      </c>
      <c r="D31" s="4" t="s">
        <v>24</v>
      </c>
      <c r="E31" s="4" t="s">
        <v>41</v>
      </c>
      <c r="F31" s="4" t="s">
        <v>25</v>
      </c>
      <c r="G31" s="4" t="s">
        <v>25</v>
      </c>
      <c r="H31" s="4" t="s">
        <v>25</v>
      </c>
      <c r="I31" s="5">
        <v>44713</v>
      </c>
      <c r="J31" s="6">
        <v>0</v>
      </c>
      <c r="K31" s="6">
        <v>0</v>
      </c>
      <c r="L31" s="6">
        <v>0.09</v>
      </c>
      <c r="M31" s="6">
        <v>0.09</v>
      </c>
      <c r="N31" s="6">
        <v>0.09</v>
      </c>
      <c r="O31" s="6">
        <v>0.09</v>
      </c>
      <c r="P31" s="6">
        <v>3</v>
      </c>
      <c r="Q31" s="4" t="s">
        <v>26</v>
      </c>
      <c r="R31" s="4">
        <v>0</v>
      </c>
      <c r="S31" s="6">
        <v>0</v>
      </c>
      <c r="T31" s="6">
        <v>3</v>
      </c>
      <c r="U31" s="6">
        <v>30</v>
      </c>
      <c r="V31" s="6">
        <f>IF(ISERROR(VLOOKUP($S$31,'TAR FIN'!$A$1:$O$73,15,0)),0,VLOOKUP($S$31,'TAR FIN'!$A$1:$O$73,15,0))</f>
        <v>0</v>
      </c>
      <c r="W31" s="6">
        <f>IF(ISERROR(VLOOKUP($T$31,'TAR FIN'!$A$1:$O$73,15,0)),0,VLOOKUP($T$31,'TAR FIN'!$A$1:$O$73,15,0))</f>
        <v>103.03</v>
      </c>
      <c r="X31" s="6">
        <f>IF(ISERROR(VLOOKUP($U$31,'TAR FIN'!$A$1:$O$73,15,0)),0,VLOOKUP($U$31,'TAR FIN'!$A$1:$O$73,15,0))</f>
        <v>86.83</v>
      </c>
      <c r="Y31" s="6"/>
      <c r="Z31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31" s="6">
        <f>('TE BE'!$AB$11+'TE BF'!$AB$11+'TE CVA'!$AB$11)*(1-CUSTOS!$M$34)</f>
        <v>67.235243465304549</v>
      </c>
      <c r="AB31" s="6">
        <f>$K$31*$V$31</f>
        <v>0</v>
      </c>
      <c r="AC31" s="6">
        <f>$M$31*$W$31</f>
        <v>9.2727000000000004</v>
      </c>
      <c r="AD31" s="6">
        <f>$O$31*$X$31</f>
        <v>7.8146999999999993</v>
      </c>
      <c r="AE31" s="6">
        <f>$K$31*$Y$31</f>
        <v>0</v>
      </c>
      <c r="AF31" s="6">
        <f ca="1">$M$31*$Z$31</f>
        <v>11.092108973400233</v>
      </c>
      <c r="AG31" s="6">
        <f>$O$31*$AA$31</f>
        <v>6.0511719118774092</v>
      </c>
    </row>
    <row r="32" spans="1:33" ht="11.25" customHeight="1" x14ac:dyDescent="0.25">
      <c r="A32" s="4" t="s">
        <v>21</v>
      </c>
      <c r="B32" s="4" t="s">
        <v>22</v>
      </c>
      <c r="C32" s="4" t="s">
        <v>23</v>
      </c>
      <c r="D32" s="4" t="s">
        <v>24</v>
      </c>
      <c r="E32" s="4" t="s">
        <v>41</v>
      </c>
      <c r="F32" s="4" t="s">
        <v>25</v>
      </c>
      <c r="G32" s="4" t="s">
        <v>25</v>
      </c>
      <c r="H32" s="4" t="s">
        <v>25</v>
      </c>
      <c r="I32" s="5">
        <v>44743</v>
      </c>
      <c r="J32" s="6">
        <v>0</v>
      </c>
      <c r="K32" s="6">
        <v>0</v>
      </c>
      <c r="L32" s="6">
        <v>0.12</v>
      </c>
      <c r="M32" s="6">
        <v>0.12</v>
      </c>
      <c r="N32" s="6">
        <v>0.12</v>
      </c>
      <c r="O32" s="6">
        <v>0.12</v>
      </c>
      <c r="P32" s="6">
        <v>4</v>
      </c>
      <c r="Q32" s="4" t="s">
        <v>26</v>
      </c>
      <c r="R32" s="4">
        <v>0</v>
      </c>
      <c r="S32" s="6">
        <v>0</v>
      </c>
      <c r="T32" s="6">
        <v>3</v>
      </c>
      <c r="U32" s="6">
        <v>30</v>
      </c>
      <c r="V32" s="6">
        <f>IF(ISERROR(VLOOKUP($S$32,'TAR FIN'!$A$1:$O$73,15,0)),0,VLOOKUP($S$32,'TAR FIN'!$A$1:$O$73,15,0))</f>
        <v>0</v>
      </c>
      <c r="W32" s="6">
        <f>IF(ISERROR(VLOOKUP($T$32,'TAR FIN'!$A$1:$O$73,15,0)),0,VLOOKUP($T$32,'TAR FIN'!$A$1:$O$73,15,0))</f>
        <v>103.03</v>
      </c>
      <c r="X32" s="6">
        <f>IF(ISERROR(VLOOKUP($U$32,'TAR FIN'!$A$1:$O$73,15,0)),0,VLOOKUP($U$32,'TAR FIN'!$A$1:$O$73,15,0))</f>
        <v>86.83</v>
      </c>
      <c r="Y32" s="6"/>
      <c r="Z32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32" s="6">
        <f>('TE BE'!$AB$11+'TE BF'!$AB$11+'TE CVA'!$AB$11)*(1-CUSTOS!$M$34)</f>
        <v>67.235243465304549</v>
      </c>
      <c r="AB32" s="6">
        <f>$K$32*$V$32</f>
        <v>0</v>
      </c>
      <c r="AC32" s="6">
        <f>$M$32*$W$32</f>
        <v>12.3636</v>
      </c>
      <c r="AD32" s="6">
        <f>$O$32*$X$32</f>
        <v>10.419599999999999</v>
      </c>
      <c r="AE32" s="6">
        <f>$K$32*$Y$32</f>
        <v>0</v>
      </c>
      <c r="AF32" s="6">
        <f ca="1">$M$32*$Z$32</f>
        <v>14.789478631200311</v>
      </c>
      <c r="AG32" s="6">
        <f>$O$32*$AA$32</f>
        <v>8.0682292158365456</v>
      </c>
    </row>
    <row r="33" spans="1:33" ht="11.25" customHeight="1" x14ac:dyDescent="0.25">
      <c r="A33" s="4" t="s">
        <v>21</v>
      </c>
      <c r="B33" s="4" t="s">
        <v>22</v>
      </c>
      <c r="C33" s="4" t="s">
        <v>23</v>
      </c>
      <c r="D33" s="4" t="s">
        <v>24</v>
      </c>
      <c r="E33" s="4" t="s">
        <v>41</v>
      </c>
      <c r="F33" s="4" t="s">
        <v>25</v>
      </c>
      <c r="G33" s="4" t="s">
        <v>25</v>
      </c>
      <c r="H33" s="4" t="s">
        <v>25</v>
      </c>
      <c r="I33" s="5">
        <v>44774</v>
      </c>
      <c r="J33" s="6">
        <v>0</v>
      </c>
      <c r="K33" s="6">
        <v>0</v>
      </c>
      <c r="L33" s="6">
        <v>0.03</v>
      </c>
      <c r="M33" s="6">
        <v>0.03</v>
      </c>
      <c r="N33" s="6">
        <v>0.03</v>
      </c>
      <c r="O33" s="6">
        <v>0.03</v>
      </c>
      <c r="P33" s="6">
        <v>1</v>
      </c>
      <c r="Q33" s="4" t="s">
        <v>26</v>
      </c>
      <c r="R33" s="4">
        <v>0</v>
      </c>
      <c r="S33" s="6">
        <v>0</v>
      </c>
      <c r="T33" s="6">
        <v>3</v>
      </c>
      <c r="U33" s="6">
        <v>30</v>
      </c>
      <c r="V33" s="6">
        <f>IF(ISERROR(VLOOKUP($S$33,'TAR FIN'!$A$1:$O$73,15,0)),0,VLOOKUP($S$33,'TAR FIN'!$A$1:$O$73,15,0))</f>
        <v>0</v>
      </c>
      <c r="W33" s="6">
        <f>IF(ISERROR(VLOOKUP($T$33,'TAR FIN'!$A$1:$O$73,15,0)),0,VLOOKUP($T$33,'TAR FIN'!$A$1:$O$73,15,0))</f>
        <v>103.03</v>
      </c>
      <c r="X33" s="6">
        <f>IF(ISERROR(VLOOKUP($U$33,'TAR FIN'!$A$1:$O$73,15,0)),0,VLOOKUP($U$33,'TAR FIN'!$A$1:$O$73,15,0))</f>
        <v>86.83</v>
      </c>
      <c r="Y33" s="6"/>
      <c r="Z33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33" s="6">
        <f>('TE BE'!$AB$11+'TE BF'!$AB$11+'TE CVA'!$AB$11)*(1-CUSTOS!$M$34)</f>
        <v>67.235243465304549</v>
      </c>
      <c r="AB33" s="6">
        <f>$K$33*$V$33</f>
        <v>0</v>
      </c>
      <c r="AC33" s="6">
        <f>$M$33*$W$33</f>
        <v>3.0909</v>
      </c>
      <c r="AD33" s="6">
        <f>$O$33*$X$33</f>
        <v>2.6048999999999998</v>
      </c>
      <c r="AE33" s="6">
        <f>$K$33*$Y$33</f>
        <v>0</v>
      </c>
      <c r="AF33" s="6">
        <f ca="1">$M$33*$Z$33</f>
        <v>3.6973696578000776</v>
      </c>
      <c r="AG33" s="6">
        <f>$O$33*$AA$33</f>
        <v>2.0170573039591364</v>
      </c>
    </row>
    <row r="34" spans="1:33" ht="11.25" customHeight="1" x14ac:dyDescent="0.25">
      <c r="A34" s="4" t="s">
        <v>21</v>
      </c>
      <c r="B34" s="4" t="s">
        <v>22</v>
      </c>
      <c r="C34" s="4" t="s">
        <v>23</v>
      </c>
      <c r="D34" s="4" t="s">
        <v>24</v>
      </c>
      <c r="E34" s="4" t="s">
        <v>41</v>
      </c>
      <c r="F34" s="4" t="s">
        <v>25</v>
      </c>
      <c r="G34" s="4" t="s">
        <v>25</v>
      </c>
      <c r="H34" s="4" t="s">
        <v>25</v>
      </c>
      <c r="I34" s="5">
        <v>44805</v>
      </c>
      <c r="J34" s="6">
        <v>0</v>
      </c>
      <c r="K34" s="6">
        <v>0</v>
      </c>
      <c r="L34" s="6">
        <v>0.03</v>
      </c>
      <c r="M34" s="6">
        <v>0.03</v>
      </c>
      <c r="N34" s="6">
        <v>0.03</v>
      </c>
      <c r="O34" s="6">
        <v>0.03</v>
      </c>
      <c r="P34" s="6">
        <v>1</v>
      </c>
      <c r="Q34" s="4" t="s">
        <v>26</v>
      </c>
      <c r="R34" s="4">
        <v>0</v>
      </c>
      <c r="S34" s="6">
        <v>0</v>
      </c>
      <c r="T34" s="6">
        <v>3</v>
      </c>
      <c r="U34" s="6">
        <v>30</v>
      </c>
      <c r="V34" s="6">
        <f>IF(ISERROR(VLOOKUP($S$34,'TAR FIN'!$A$1:$O$73,15,0)),0,VLOOKUP($S$34,'TAR FIN'!$A$1:$O$73,15,0))</f>
        <v>0</v>
      </c>
      <c r="W34" s="6">
        <f>IF(ISERROR(VLOOKUP($T$34,'TAR FIN'!$A$1:$O$73,15,0)),0,VLOOKUP($T$34,'TAR FIN'!$A$1:$O$73,15,0))</f>
        <v>103.03</v>
      </c>
      <c r="X34" s="6">
        <f>IF(ISERROR(VLOOKUP($U$34,'TAR FIN'!$A$1:$O$73,15,0)),0,VLOOKUP($U$34,'TAR FIN'!$A$1:$O$73,15,0))</f>
        <v>86.83</v>
      </c>
      <c r="Y34" s="6"/>
      <c r="Z34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34" s="6">
        <f>('TE BE'!$AB$11+'TE BF'!$AB$11+'TE CVA'!$AB$11)*(1-CUSTOS!$M$34)</f>
        <v>67.235243465304549</v>
      </c>
      <c r="AB34" s="6">
        <f>$K$34*$V$34</f>
        <v>0</v>
      </c>
      <c r="AC34" s="6">
        <f>$M$34*$W$34</f>
        <v>3.0909</v>
      </c>
      <c r="AD34" s="6">
        <f>$O$34*$X$34</f>
        <v>2.6048999999999998</v>
      </c>
      <c r="AE34" s="6">
        <f>$K$34*$Y$34</f>
        <v>0</v>
      </c>
      <c r="AF34" s="6">
        <f ca="1">$M$34*$Z$34</f>
        <v>3.6973696578000776</v>
      </c>
      <c r="AG34" s="6">
        <f>$O$34*$AA$34</f>
        <v>2.0170573039591364</v>
      </c>
    </row>
    <row r="35" spans="1:33" ht="11.25" customHeight="1" x14ac:dyDescent="0.25">
      <c r="A35" s="4" t="s">
        <v>21</v>
      </c>
      <c r="B35" s="4" t="s">
        <v>22</v>
      </c>
      <c r="C35" s="4" t="s">
        <v>23</v>
      </c>
      <c r="D35" s="4" t="s">
        <v>24</v>
      </c>
      <c r="E35" s="4" t="s">
        <v>41</v>
      </c>
      <c r="F35" s="4" t="s">
        <v>25</v>
      </c>
      <c r="G35" s="4" t="s">
        <v>25</v>
      </c>
      <c r="H35" s="4" t="s">
        <v>25</v>
      </c>
      <c r="I35" s="5">
        <v>44835</v>
      </c>
      <c r="J35" s="6">
        <v>0</v>
      </c>
      <c r="K35" s="6">
        <v>0</v>
      </c>
      <c r="L35" s="6">
        <v>0.03</v>
      </c>
      <c r="M35" s="6">
        <v>0.03</v>
      </c>
      <c r="N35" s="6">
        <v>0.03</v>
      </c>
      <c r="O35" s="6">
        <v>0.03</v>
      </c>
      <c r="P35" s="6">
        <v>1</v>
      </c>
      <c r="Q35" s="4" t="s">
        <v>26</v>
      </c>
      <c r="R35" s="4">
        <v>0</v>
      </c>
      <c r="S35" s="6">
        <v>0</v>
      </c>
      <c r="T35" s="6">
        <v>3</v>
      </c>
      <c r="U35" s="6">
        <v>30</v>
      </c>
      <c r="V35" s="6">
        <f>IF(ISERROR(VLOOKUP($S$35,'TAR FIN'!$A$1:$O$73,15,0)),0,VLOOKUP($S$35,'TAR FIN'!$A$1:$O$73,15,0))</f>
        <v>0</v>
      </c>
      <c r="W35" s="6">
        <f>IF(ISERROR(VLOOKUP($T$35,'TAR FIN'!$A$1:$O$73,15,0)),0,VLOOKUP($T$35,'TAR FIN'!$A$1:$O$73,15,0))</f>
        <v>103.03</v>
      </c>
      <c r="X35" s="6">
        <f>IF(ISERROR(VLOOKUP($U$35,'TAR FIN'!$A$1:$O$73,15,0)),0,VLOOKUP($U$35,'TAR FIN'!$A$1:$O$73,15,0))</f>
        <v>86.83</v>
      </c>
      <c r="Y35" s="6"/>
      <c r="Z35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35" s="6">
        <f>('TE BE'!$AB$11+'TE BF'!$AB$11+'TE CVA'!$AB$11)*(1-CUSTOS!$M$34)</f>
        <v>67.235243465304549</v>
      </c>
      <c r="AB35" s="6">
        <f>$K$35*$V$35</f>
        <v>0</v>
      </c>
      <c r="AC35" s="6">
        <f>$M$35*$W$35</f>
        <v>3.0909</v>
      </c>
      <c r="AD35" s="6">
        <f>$O$35*$X$35</f>
        <v>2.6048999999999998</v>
      </c>
      <c r="AE35" s="6">
        <f>$K$35*$Y$35</f>
        <v>0</v>
      </c>
      <c r="AF35" s="6">
        <f ca="1">$M$35*$Z$35</f>
        <v>3.6973696578000776</v>
      </c>
      <c r="AG35" s="6">
        <f>$O$35*$AA$35</f>
        <v>2.0170573039591364</v>
      </c>
    </row>
    <row r="36" spans="1:33" ht="11.25" customHeight="1" x14ac:dyDescent="0.25">
      <c r="A36" s="4" t="s">
        <v>21</v>
      </c>
      <c r="B36" s="4" t="s">
        <v>22</v>
      </c>
      <c r="C36" s="4" t="s">
        <v>23</v>
      </c>
      <c r="D36" s="4" t="s">
        <v>24</v>
      </c>
      <c r="E36" s="4" t="s">
        <v>42</v>
      </c>
      <c r="F36" s="4" t="s">
        <v>25</v>
      </c>
      <c r="G36" s="4" t="s">
        <v>25</v>
      </c>
      <c r="H36" s="4" t="s">
        <v>25</v>
      </c>
      <c r="I36" s="5">
        <v>44593</v>
      </c>
      <c r="J36" s="6">
        <v>0</v>
      </c>
      <c r="K36" s="6">
        <v>0</v>
      </c>
      <c r="L36" s="6">
        <v>8.7999999999999995E-2</v>
      </c>
      <c r="M36" s="6">
        <v>8.7999999999999995E-2</v>
      </c>
      <c r="N36" s="6">
        <v>8.7999999999999995E-2</v>
      </c>
      <c r="O36" s="6">
        <v>8.7999999999999995E-2</v>
      </c>
      <c r="P36" s="6">
        <v>1</v>
      </c>
      <c r="Q36" s="4" t="s">
        <v>26</v>
      </c>
      <c r="R36" s="4">
        <v>0</v>
      </c>
      <c r="S36" s="6">
        <v>0</v>
      </c>
      <c r="T36" s="6">
        <v>38</v>
      </c>
      <c r="U36" s="6">
        <v>32</v>
      </c>
      <c r="V36" s="6">
        <f>IF(ISERROR(VLOOKUP($S$36,'TAR FIN'!$A$1:$O$73,15,0)),0,VLOOKUP($S$36,'TAR FIN'!$A$1:$O$73,15,0))</f>
        <v>0</v>
      </c>
      <c r="W36" s="6">
        <f>IF(ISERROR(VLOOKUP($T$36,'TAR FIN'!$A$1:$O$73,15,0)),0,VLOOKUP($T$36,'TAR FIN'!$A$1:$O$73,15,0))</f>
        <v>176.61</v>
      </c>
      <c r="X36" s="6">
        <f>IF(ISERROR(VLOOKUP($U$36,'TAR FIN'!$A$1:$O$73,15,0)),0,VLOOKUP($U$36,'TAR FIN'!$A$1:$O$73,15,0))</f>
        <v>148.85</v>
      </c>
      <c r="Y36" s="6"/>
      <c r="Z36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36" s="6">
        <f>('TE BE'!$AB$12+'TE BF'!$AB$12+'TE CVA'!$AB$12)*(1-CUSTOS!$M$35)</f>
        <v>115.26041736909352</v>
      </c>
      <c r="AB36" s="6">
        <f>$K$36*$V$36</f>
        <v>0</v>
      </c>
      <c r="AC36" s="6">
        <f>$M$36*$W$36</f>
        <v>15.541679999999999</v>
      </c>
      <c r="AD36" s="6">
        <f>$O$36*$X$36</f>
        <v>13.098799999999999</v>
      </c>
      <c r="AE36" s="6">
        <f>$K$36*$Y$36</f>
        <v>0</v>
      </c>
      <c r="AF36" s="6">
        <f ca="1">$M$36*$Z$36</f>
        <v>18.592487422080392</v>
      </c>
      <c r="AG36" s="6">
        <f>$O$36*$AA$36</f>
        <v>10.142916728480229</v>
      </c>
    </row>
    <row r="37" spans="1:33" ht="11.25" customHeight="1" x14ac:dyDescent="0.25">
      <c r="A37" s="4" t="s">
        <v>21</v>
      </c>
      <c r="B37" s="4" t="s">
        <v>22</v>
      </c>
      <c r="C37" s="4" t="s">
        <v>23</v>
      </c>
      <c r="D37" s="4" t="s">
        <v>24</v>
      </c>
      <c r="E37" s="4" t="s">
        <v>42</v>
      </c>
      <c r="F37" s="4" t="s">
        <v>25</v>
      </c>
      <c r="G37" s="4" t="s">
        <v>25</v>
      </c>
      <c r="H37" s="4" t="s">
        <v>25</v>
      </c>
      <c r="I37" s="5">
        <v>44621</v>
      </c>
      <c r="J37" s="6">
        <v>0</v>
      </c>
      <c r="K37" s="6">
        <v>0</v>
      </c>
      <c r="L37" s="6">
        <v>0.24</v>
      </c>
      <c r="M37" s="6">
        <v>0.24</v>
      </c>
      <c r="N37" s="6">
        <v>0.24</v>
      </c>
      <c r="O37" s="6">
        <v>0.24</v>
      </c>
      <c r="P37" s="6">
        <v>4</v>
      </c>
      <c r="Q37" s="4" t="s">
        <v>26</v>
      </c>
      <c r="R37" s="4">
        <v>0</v>
      </c>
      <c r="S37" s="6">
        <v>0</v>
      </c>
      <c r="T37" s="6">
        <v>38</v>
      </c>
      <c r="U37" s="6">
        <v>32</v>
      </c>
      <c r="V37" s="6">
        <f>IF(ISERROR(VLOOKUP($S$37,'TAR FIN'!$A$1:$O$73,15,0)),0,VLOOKUP($S$37,'TAR FIN'!$A$1:$O$73,15,0))</f>
        <v>0</v>
      </c>
      <c r="W37" s="6">
        <f>IF(ISERROR(VLOOKUP($T$37,'TAR FIN'!$A$1:$O$73,15,0)),0,VLOOKUP($T$37,'TAR FIN'!$A$1:$O$73,15,0))</f>
        <v>176.61</v>
      </c>
      <c r="X37" s="6">
        <f>IF(ISERROR(VLOOKUP($U$37,'TAR FIN'!$A$1:$O$73,15,0)),0,VLOOKUP($U$37,'TAR FIN'!$A$1:$O$73,15,0))</f>
        <v>148.85</v>
      </c>
      <c r="Y37" s="6"/>
      <c r="Z37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37" s="6">
        <f>('TE BE'!$AB$12+'TE BF'!$AB$12+'TE CVA'!$AB$12)*(1-CUSTOS!$M$35)</f>
        <v>115.26041736909352</v>
      </c>
      <c r="AB37" s="6">
        <f>$K$37*$V$37</f>
        <v>0</v>
      </c>
      <c r="AC37" s="6">
        <f>$M$37*$W$37</f>
        <v>42.386400000000002</v>
      </c>
      <c r="AD37" s="6">
        <f>$O$37*$X$37</f>
        <v>35.723999999999997</v>
      </c>
      <c r="AE37" s="6">
        <f>$K$37*$Y$37</f>
        <v>0</v>
      </c>
      <c r="AF37" s="6">
        <f ca="1">$M$37*$Z$37</f>
        <v>50.706783878401069</v>
      </c>
      <c r="AG37" s="6">
        <f>$O$37*$AA$37</f>
        <v>27.662500168582444</v>
      </c>
    </row>
    <row r="38" spans="1:33" ht="11.25" customHeight="1" x14ac:dyDescent="0.25">
      <c r="A38" s="4" t="s">
        <v>21</v>
      </c>
      <c r="B38" s="4" t="s">
        <v>22</v>
      </c>
      <c r="C38" s="4" t="s">
        <v>23</v>
      </c>
      <c r="D38" s="4" t="s">
        <v>24</v>
      </c>
      <c r="E38" s="4" t="s">
        <v>42</v>
      </c>
      <c r="F38" s="4" t="s">
        <v>25</v>
      </c>
      <c r="G38" s="4" t="s">
        <v>25</v>
      </c>
      <c r="H38" s="4" t="s">
        <v>25</v>
      </c>
      <c r="I38" s="5">
        <v>44652</v>
      </c>
      <c r="J38" s="6">
        <v>0</v>
      </c>
      <c r="K38" s="6">
        <v>0</v>
      </c>
      <c r="L38" s="6">
        <v>0.81100000000000005</v>
      </c>
      <c r="M38" s="6">
        <v>0.81100000000000005</v>
      </c>
      <c r="N38" s="6">
        <v>0.81100000000000005</v>
      </c>
      <c r="O38" s="6">
        <v>0.81100000000000005</v>
      </c>
      <c r="P38" s="6">
        <v>13</v>
      </c>
      <c r="Q38" s="4" t="s">
        <v>26</v>
      </c>
      <c r="R38" s="4">
        <v>0</v>
      </c>
      <c r="S38" s="6">
        <v>0</v>
      </c>
      <c r="T38" s="6">
        <v>38</v>
      </c>
      <c r="U38" s="6">
        <v>32</v>
      </c>
      <c r="V38" s="6">
        <f>IF(ISERROR(VLOOKUP($S$38,'TAR FIN'!$A$1:$O$73,15,0)),0,VLOOKUP($S$38,'TAR FIN'!$A$1:$O$73,15,0))</f>
        <v>0</v>
      </c>
      <c r="W38" s="6">
        <f>IF(ISERROR(VLOOKUP($T$38,'TAR FIN'!$A$1:$O$73,15,0)),0,VLOOKUP($T$38,'TAR FIN'!$A$1:$O$73,15,0))</f>
        <v>176.61</v>
      </c>
      <c r="X38" s="6">
        <f>IF(ISERROR(VLOOKUP($U$38,'TAR FIN'!$A$1:$O$73,15,0)),0,VLOOKUP($U$38,'TAR FIN'!$A$1:$O$73,15,0))</f>
        <v>148.85</v>
      </c>
      <c r="Y38" s="6"/>
      <c r="Z38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38" s="6">
        <f>('TE BE'!$AB$12+'TE BF'!$AB$12+'TE CVA'!$AB$12)*(1-CUSTOS!$M$35)</f>
        <v>115.26041736909352</v>
      </c>
      <c r="AB38" s="6">
        <f>$K$38*$V$38</f>
        <v>0</v>
      </c>
      <c r="AC38" s="6">
        <f>$M$38*$W$38</f>
        <v>143.23071000000002</v>
      </c>
      <c r="AD38" s="6">
        <f>$O$38*$X$38</f>
        <v>120.71735000000001</v>
      </c>
      <c r="AE38" s="6">
        <f>$K$38*$Y$38</f>
        <v>0</v>
      </c>
      <c r="AF38" s="6">
        <f ca="1">$M$38*$Z$38</f>
        <v>171.34667385576361</v>
      </c>
      <c r="AG38" s="6">
        <f>$O$38*$AA$38</f>
        <v>93.476198486334852</v>
      </c>
    </row>
    <row r="39" spans="1:33" ht="11.25" customHeight="1" x14ac:dyDescent="0.25">
      <c r="A39" s="4" t="s">
        <v>21</v>
      </c>
      <c r="B39" s="4" t="s">
        <v>22</v>
      </c>
      <c r="C39" s="4" t="s">
        <v>23</v>
      </c>
      <c r="D39" s="4" t="s">
        <v>24</v>
      </c>
      <c r="E39" s="4" t="s">
        <v>42</v>
      </c>
      <c r="F39" s="4" t="s">
        <v>25</v>
      </c>
      <c r="G39" s="4" t="s">
        <v>25</v>
      </c>
      <c r="H39" s="4" t="s">
        <v>25</v>
      </c>
      <c r="I39" s="5">
        <v>44682</v>
      </c>
      <c r="J39" s="6">
        <v>0</v>
      </c>
      <c r="K39" s="6">
        <v>0</v>
      </c>
      <c r="L39" s="6">
        <v>0.97299999999999998</v>
      </c>
      <c r="M39" s="6">
        <v>0.97299999999999998</v>
      </c>
      <c r="N39" s="6">
        <v>0.97299999999999998</v>
      </c>
      <c r="O39" s="6">
        <v>0.97299999999999998</v>
      </c>
      <c r="P39" s="6">
        <v>17</v>
      </c>
      <c r="Q39" s="4" t="s">
        <v>26</v>
      </c>
      <c r="R39" s="4">
        <v>0</v>
      </c>
      <c r="S39" s="6">
        <v>0</v>
      </c>
      <c r="T39" s="6">
        <v>38</v>
      </c>
      <c r="U39" s="6">
        <v>32</v>
      </c>
      <c r="V39" s="6">
        <f>IF(ISERROR(VLOOKUP($S$39,'TAR FIN'!$A$1:$O$73,15,0)),0,VLOOKUP($S$39,'TAR FIN'!$A$1:$O$73,15,0))</f>
        <v>0</v>
      </c>
      <c r="W39" s="6">
        <f>IF(ISERROR(VLOOKUP($T$39,'TAR FIN'!$A$1:$O$73,15,0)),0,VLOOKUP($T$39,'TAR FIN'!$A$1:$O$73,15,0))</f>
        <v>176.61</v>
      </c>
      <c r="X39" s="6">
        <f>IF(ISERROR(VLOOKUP($U$39,'TAR FIN'!$A$1:$O$73,15,0)),0,VLOOKUP($U$39,'TAR FIN'!$A$1:$O$73,15,0))</f>
        <v>148.85</v>
      </c>
      <c r="Y39" s="6"/>
      <c r="Z39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39" s="6">
        <f>('TE BE'!$AB$12+'TE BF'!$AB$12+'TE CVA'!$AB$12)*(1-CUSTOS!$M$35)</f>
        <v>115.26041736909352</v>
      </c>
      <c r="AB39" s="6">
        <f>$K$39*$V$39</f>
        <v>0</v>
      </c>
      <c r="AC39" s="6">
        <f>$M$39*$W$39</f>
        <v>171.84153000000001</v>
      </c>
      <c r="AD39" s="6">
        <f>$O$39*$X$39</f>
        <v>144.83105</v>
      </c>
      <c r="AE39" s="6">
        <f>$K$39*$Y$39</f>
        <v>0</v>
      </c>
      <c r="AF39" s="6">
        <f ca="1">$M$39*$Z$39</f>
        <v>205.57375297368432</v>
      </c>
      <c r="AG39" s="6">
        <f>$O$39*$AA$39</f>
        <v>112.14838610012799</v>
      </c>
    </row>
    <row r="40" spans="1:33" ht="11.25" customHeight="1" x14ac:dyDescent="0.25">
      <c r="A40" s="4" t="s">
        <v>21</v>
      </c>
      <c r="B40" s="4" t="s">
        <v>22</v>
      </c>
      <c r="C40" s="4" t="s">
        <v>23</v>
      </c>
      <c r="D40" s="4" t="s">
        <v>24</v>
      </c>
      <c r="E40" s="4" t="s">
        <v>42</v>
      </c>
      <c r="F40" s="4" t="s">
        <v>25</v>
      </c>
      <c r="G40" s="4" t="s">
        <v>25</v>
      </c>
      <c r="H40" s="4" t="s">
        <v>25</v>
      </c>
      <c r="I40" s="5">
        <v>44713</v>
      </c>
      <c r="J40" s="6">
        <v>0</v>
      </c>
      <c r="K40" s="6">
        <v>0</v>
      </c>
      <c r="L40" s="6">
        <v>1.0389999999999999</v>
      </c>
      <c r="M40" s="6">
        <v>1.0389999999999999</v>
      </c>
      <c r="N40" s="6">
        <v>1.0389999999999999</v>
      </c>
      <c r="O40" s="6">
        <v>1.0389999999999999</v>
      </c>
      <c r="P40" s="6">
        <v>16</v>
      </c>
      <c r="Q40" s="4" t="s">
        <v>26</v>
      </c>
      <c r="R40" s="4">
        <v>0</v>
      </c>
      <c r="S40" s="6">
        <v>0</v>
      </c>
      <c r="T40" s="6">
        <v>38</v>
      </c>
      <c r="U40" s="6">
        <v>32</v>
      </c>
      <c r="V40" s="6">
        <f>IF(ISERROR(VLOOKUP($S$40,'TAR FIN'!$A$1:$O$73,15,0)),0,VLOOKUP($S$40,'TAR FIN'!$A$1:$O$73,15,0))</f>
        <v>0</v>
      </c>
      <c r="W40" s="6">
        <f>IF(ISERROR(VLOOKUP($T$40,'TAR FIN'!$A$1:$O$73,15,0)),0,VLOOKUP($T$40,'TAR FIN'!$A$1:$O$73,15,0))</f>
        <v>176.61</v>
      </c>
      <c r="X40" s="6">
        <f>IF(ISERROR(VLOOKUP($U$40,'TAR FIN'!$A$1:$O$73,15,0)),0,VLOOKUP($U$40,'TAR FIN'!$A$1:$O$73,15,0))</f>
        <v>148.85</v>
      </c>
      <c r="Y40" s="6"/>
      <c r="Z40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40" s="6">
        <f>('TE BE'!$AB$12+'TE BF'!$AB$12+'TE CVA'!$AB$12)*(1-CUSTOS!$M$35)</f>
        <v>115.26041736909352</v>
      </c>
      <c r="AB40" s="6">
        <f>$K$40*$V$40</f>
        <v>0</v>
      </c>
      <c r="AC40" s="6">
        <f>$M$40*$W$40</f>
        <v>183.49779000000001</v>
      </c>
      <c r="AD40" s="6">
        <f>$O$40*$X$40</f>
        <v>154.65514999999999</v>
      </c>
      <c r="AE40" s="6">
        <f>$K$40*$Y$40</f>
        <v>0</v>
      </c>
      <c r="AF40" s="6">
        <f ca="1">$M$40*$Z$40</f>
        <v>219.51811854024461</v>
      </c>
      <c r="AG40" s="6">
        <f>$O$40*$AA$40</f>
        <v>119.75557364648816</v>
      </c>
    </row>
    <row r="41" spans="1:33" ht="11.25" customHeight="1" x14ac:dyDescent="0.25">
      <c r="A41" s="4" t="s">
        <v>21</v>
      </c>
      <c r="B41" s="4" t="s">
        <v>22</v>
      </c>
      <c r="C41" s="4" t="s">
        <v>23</v>
      </c>
      <c r="D41" s="4" t="s">
        <v>24</v>
      </c>
      <c r="E41" s="4" t="s">
        <v>42</v>
      </c>
      <c r="F41" s="4" t="s">
        <v>25</v>
      </c>
      <c r="G41" s="4" t="s">
        <v>25</v>
      </c>
      <c r="H41" s="4" t="s">
        <v>25</v>
      </c>
      <c r="I41" s="5">
        <v>44743</v>
      </c>
      <c r="J41" s="6">
        <v>0</v>
      </c>
      <c r="K41" s="6">
        <v>0</v>
      </c>
      <c r="L41" s="6">
        <v>1.1870000000000001</v>
      </c>
      <c r="M41" s="6">
        <v>1.1870000000000001</v>
      </c>
      <c r="N41" s="6">
        <v>1.1870000000000001</v>
      </c>
      <c r="O41" s="6">
        <v>1.1870000000000001</v>
      </c>
      <c r="P41" s="6">
        <v>18</v>
      </c>
      <c r="Q41" s="4" t="s">
        <v>26</v>
      </c>
      <c r="R41" s="4">
        <v>0</v>
      </c>
      <c r="S41" s="6">
        <v>0</v>
      </c>
      <c r="T41" s="6">
        <v>38</v>
      </c>
      <c r="U41" s="6">
        <v>32</v>
      </c>
      <c r="V41" s="6">
        <f>IF(ISERROR(VLOOKUP($S$41,'TAR FIN'!$A$1:$O$73,15,0)),0,VLOOKUP($S$41,'TAR FIN'!$A$1:$O$73,15,0))</f>
        <v>0</v>
      </c>
      <c r="W41" s="6">
        <f>IF(ISERROR(VLOOKUP($T$41,'TAR FIN'!$A$1:$O$73,15,0)),0,VLOOKUP($T$41,'TAR FIN'!$A$1:$O$73,15,0))</f>
        <v>176.61</v>
      </c>
      <c r="X41" s="6">
        <f>IF(ISERROR(VLOOKUP($U$41,'TAR FIN'!$A$1:$O$73,15,0)),0,VLOOKUP($U$41,'TAR FIN'!$A$1:$O$73,15,0))</f>
        <v>148.85</v>
      </c>
      <c r="Y41" s="6"/>
      <c r="Z41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41" s="6">
        <f>('TE BE'!$AB$12+'TE BF'!$AB$12+'TE CVA'!$AB$12)*(1-CUSTOS!$M$35)</f>
        <v>115.26041736909352</v>
      </c>
      <c r="AB41" s="6">
        <f>$K$41*$V$41</f>
        <v>0</v>
      </c>
      <c r="AC41" s="6">
        <f>$M$41*$W$41</f>
        <v>209.63607000000002</v>
      </c>
      <c r="AD41" s="6">
        <f>$O$41*$X$41</f>
        <v>176.68495000000001</v>
      </c>
      <c r="AE41" s="6">
        <f>$K$41*$Y$41</f>
        <v>0</v>
      </c>
      <c r="AF41" s="6">
        <f ca="1">$M$41*$Z$41</f>
        <v>250.7873019319253</v>
      </c>
      <c r="AG41" s="6">
        <f>$O$41*$AA$41</f>
        <v>136.81411541711401</v>
      </c>
    </row>
    <row r="42" spans="1:33" ht="11.25" customHeight="1" x14ac:dyDescent="0.25">
      <c r="A42" s="4" t="s">
        <v>21</v>
      </c>
      <c r="B42" s="4" t="s">
        <v>22</v>
      </c>
      <c r="C42" s="4" t="s">
        <v>23</v>
      </c>
      <c r="D42" s="4" t="s">
        <v>24</v>
      </c>
      <c r="E42" s="4" t="s">
        <v>42</v>
      </c>
      <c r="F42" s="4" t="s">
        <v>25</v>
      </c>
      <c r="G42" s="4" t="s">
        <v>25</v>
      </c>
      <c r="H42" s="4" t="s">
        <v>25</v>
      </c>
      <c r="I42" s="5">
        <v>44774</v>
      </c>
      <c r="J42" s="6">
        <v>0</v>
      </c>
      <c r="K42" s="6">
        <v>0</v>
      </c>
      <c r="L42" s="6">
        <v>1.0620000000000001</v>
      </c>
      <c r="M42" s="6">
        <v>1.0620000000000001</v>
      </c>
      <c r="N42" s="6">
        <v>1.0620000000000001</v>
      </c>
      <c r="O42" s="6">
        <v>1.0620000000000001</v>
      </c>
      <c r="P42" s="6">
        <v>15</v>
      </c>
      <c r="Q42" s="4" t="s">
        <v>26</v>
      </c>
      <c r="R42" s="4">
        <v>0</v>
      </c>
      <c r="S42" s="6">
        <v>0</v>
      </c>
      <c r="T42" s="6">
        <v>38</v>
      </c>
      <c r="U42" s="6">
        <v>32</v>
      </c>
      <c r="V42" s="6">
        <f>IF(ISERROR(VLOOKUP($S$42,'TAR FIN'!$A$1:$O$73,15,0)),0,VLOOKUP($S$42,'TAR FIN'!$A$1:$O$73,15,0))</f>
        <v>0</v>
      </c>
      <c r="W42" s="6">
        <f>IF(ISERROR(VLOOKUP($T$42,'TAR FIN'!$A$1:$O$73,15,0)),0,VLOOKUP($T$42,'TAR FIN'!$A$1:$O$73,15,0))</f>
        <v>176.61</v>
      </c>
      <c r="X42" s="6">
        <f>IF(ISERROR(VLOOKUP($U$42,'TAR FIN'!$A$1:$O$73,15,0)),0,VLOOKUP($U$42,'TAR FIN'!$A$1:$O$73,15,0))</f>
        <v>148.85</v>
      </c>
      <c r="Y42" s="6"/>
      <c r="Z42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42" s="6">
        <f>('TE BE'!$AB$12+'TE BF'!$AB$12+'TE CVA'!$AB$12)*(1-CUSTOS!$M$35)</f>
        <v>115.26041736909352</v>
      </c>
      <c r="AB42" s="6">
        <f>$K$42*$V$42</f>
        <v>0</v>
      </c>
      <c r="AC42" s="6">
        <f>$M$42*$W$42</f>
        <v>187.55982000000003</v>
      </c>
      <c r="AD42" s="6">
        <f>$O$42*$X$42</f>
        <v>158.0787</v>
      </c>
      <c r="AE42" s="6">
        <f>$K$42*$Y$42</f>
        <v>0</v>
      </c>
      <c r="AF42" s="6">
        <f ca="1">$M$42*$Z$42</f>
        <v>224.37751866192474</v>
      </c>
      <c r="AG42" s="6">
        <f>$O$42*$AA$42</f>
        <v>122.40656324597732</v>
      </c>
    </row>
    <row r="43" spans="1:33" ht="11.25" customHeight="1" x14ac:dyDescent="0.25">
      <c r="A43" s="4" t="s">
        <v>21</v>
      </c>
      <c r="B43" s="4" t="s">
        <v>22</v>
      </c>
      <c r="C43" s="4" t="s">
        <v>23</v>
      </c>
      <c r="D43" s="4" t="s">
        <v>24</v>
      </c>
      <c r="E43" s="4" t="s">
        <v>42</v>
      </c>
      <c r="F43" s="4" t="s">
        <v>25</v>
      </c>
      <c r="G43" s="4" t="s">
        <v>25</v>
      </c>
      <c r="H43" s="4" t="s">
        <v>25</v>
      </c>
      <c r="I43" s="5">
        <v>44805</v>
      </c>
      <c r="J43" s="6">
        <v>0</v>
      </c>
      <c r="K43" s="6">
        <v>0</v>
      </c>
      <c r="L43" s="6">
        <v>0.99</v>
      </c>
      <c r="M43" s="6">
        <v>0.99</v>
      </c>
      <c r="N43" s="6">
        <v>0.99</v>
      </c>
      <c r="O43" s="6">
        <v>0.99</v>
      </c>
      <c r="P43" s="6">
        <v>14</v>
      </c>
      <c r="Q43" s="4" t="s">
        <v>26</v>
      </c>
      <c r="R43" s="4">
        <v>0</v>
      </c>
      <c r="S43" s="6">
        <v>0</v>
      </c>
      <c r="T43" s="6">
        <v>38</v>
      </c>
      <c r="U43" s="6">
        <v>32</v>
      </c>
      <c r="V43" s="6">
        <f>IF(ISERROR(VLOOKUP($S$43,'TAR FIN'!$A$1:$O$73,15,0)),0,VLOOKUP($S$43,'TAR FIN'!$A$1:$O$73,15,0))</f>
        <v>0</v>
      </c>
      <c r="W43" s="6">
        <f>IF(ISERROR(VLOOKUP($T$43,'TAR FIN'!$A$1:$O$73,15,0)),0,VLOOKUP($T$43,'TAR FIN'!$A$1:$O$73,15,0))</f>
        <v>176.61</v>
      </c>
      <c r="X43" s="6">
        <f>IF(ISERROR(VLOOKUP($U$43,'TAR FIN'!$A$1:$O$73,15,0)),0,VLOOKUP($U$43,'TAR FIN'!$A$1:$O$73,15,0))</f>
        <v>148.85</v>
      </c>
      <c r="Y43" s="6"/>
      <c r="Z43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43" s="6">
        <f>('TE BE'!$AB$12+'TE BF'!$AB$12+'TE CVA'!$AB$12)*(1-CUSTOS!$M$35)</f>
        <v>115.26041736909352</v>
      </c>
      <c r="AB43" s="6">
        <f>$K$43*$V$43</f>
        <v>0</v>
      </c>
      <c r="AC43" s="6">
        <f>$M$43*$W$43</f>
        <v>174.84390000000002</v>
      </c>
      <c r="AD43" s="6">
        <f>$O$43*$X$43</f>
        <v>147.36150000000001</v>
      </c>
      <c r="AE43" s="6">
        <f>$K$43*$Y$43</f>
        <v>0</v>
      </c>
      <c r="AF43" s="6">
        <f ca="1">$M$43*$Z$43</f>
        <v>209.1654834984044</v>
      </c>
      <c r="AG43" s="6">
        <f>$O$43*$AA$43</f>
        <v>114.10781319540258</v>
      </c>
    </row>
    <row r="44" spans="1:33" ht="11.25" customHeight="1" x14ac:dyDescent="0.25">
      <c r="A44" s="4" t="s">
        <v>21</v>
      </c>
      <c r="B44" s="4" t="s">
        <v>22</v>
      </c>
      <c r="C44" s="4" t="s">
        <v>23</v>
      </c>
      <c r="D44" s="4" t="s">
        <v>24</v>
      </c>
      <c r="E44" s="4" t="s">
        <v>42</v>
      </c>
      <c r="F44" s="4" t="s">
        <v>25</v>
      </c>
      <c r="G44" s="4" t="s">
        <v>25</v>
      </c>
      <c r="H44" s="4" t="s">
        <v>25</v>
      </c>
      <c r="I44" s="5">
        <v>44835</v>
      </c>
      <c r="J44" s="6">
        <v>0</v>
      </c>
      <c r="K44" s="6">
        <v>0</v>
      </c>
      <c r="L44" s="6">
        <v>0.92300000000000004</v>
      </c>
      <c r="M44" s="6">
        <v>0.92300000000000004</v>
      </c>
      <c r="N44" s="6">
        <v>0.92300000000000004</v>
      </c>
      <c r="O44" s="6">
        <v>0.92300000000000004</v>
      </c>
      <c r="P44" s="6">
        <v>13</v>
      </c>
      <c r="Q44" s="4" t="s">
        <v>26</v>
      </c>
      <c r="R44" s="4">
        <v>0</v>
      </c>
      <c r="S44" s="6">
        <v>0</v>
      </c>
      <c r="T44" s="6">
        <v>38</v>
      </c>
      <c r="U44" s="6">
        <v>32</v>
      </c>
      <c r="V44" s="6">
        <f>IF(ISERROR(VLOOKUP($S$44,'TAR FIN'!$A$1:$O$73,15,0)),0,VLOOKUP($S$44,'TAR FIN'!$A$1:$O$73,15,0))</f>
        <v>0</v>
      </c>
      <c r="W44" s="6">
        <f>IF(ISERROR(VLOOKUP($T$44,'TAR FIN'!$A$1:$O$73,15,0)),0,VLOOKUP($T$44,'TAR FIN'!$A$1:$O$73,15,0))</f>
        <v>176.61</v>
      </c>
      <c r="X44" s="6">
        <f>IF(ISERROR(VLOOKUP($U$44,'TAR FIN'!$A$1:$O$73,15,0)),0,VLOOKUP($U$44,'TAR FIN'!$A$1:$O$73,15,0))</f>
        <v>148.85</v>
      </c>
      <c r="Y44" s="6"/>
      <c r="Z44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44" s="6">
        <f>('TE BE'!$AB$12+'TE BF'!$AB$12+'TE CVA'!$AB$12)*(1-CUSTOS!$M$35)</f>
        <v>115.26041736909352</v>
      </c>
      <c r="AB44" s="6">
        <f>$K$44*$V$44</f>
        <v>0</v>
      </c>
      <c r="AC44" s="6">
        <f>$M$44*$W$44</f>
        <v>163.01103000000003</v>
      </c>
      <c r="AD44" s="6">
        <f>$O$44*$X$44</f>
        <v>137.38855000000001</v>
      </c>
      <c r="AE44" s="6">
        <f>$K$44*$Y$44</f>
        <v>0</v>
      </c>
      <c r="AF44" s="6">
        <f ca="1">$M$44*$Z$44</f>
        <v>195.00983966568413</v>
      </c>
      <c r="AG44" s="6">
        <f>$O$44*$AA$44</f>
        <v>106.38536523167332</v>
      </c>
    </row>
    <row r="45" spans="1:33" ht="11.25" customHeight="1" x14ac:dyDescent="0.25">
      <c r="A45" s="4" t="s">
        <v>21</v>
      </c>
      <c r="B45" s="4" t="s">
        <v>22</v>
      </c>
      <c r="C45" s="4" t="s">
        <v>23</v>
      </c>
      <c r="D45" s="4" t="s">
        <v>24</v>
      </c>
      <c r="E45" s="4" t="s">
        <v>39</v>
      </c>
      <c r="F45" s="4" t="s">
        <v>25</v>
      </c>
      <c r="G45" s="4" t="s">
        <v>25</v>
      </c>
      <c r="H45" s="4" t="s">
        <v>25</v>
      </c>
      <c r="I45" s="5">
        <v>44531</v>
      </c>
      <c r="J45" s="6">
        <v>0</v>
      </c>
      <c r="K45" s="6">
        <v>0</v>
      </c>
      <c r="L45" s="6">
        <v>0.55300000000000005</v>
      </c>
      <c r="M45" s="6">
        <v>0.55300000000000005</v>
      </c>
      <c r="N45" s="6">
        <v>0.55300000000000005</v>
      </c>
      <c r="O45" s="6">
        <v>0.55300000000000005</v>
      </c>
      <c r="P45" s="6">
        <v>3</v>
      </c>
      <c r="Q45" s="4" t="s">
        <v>26</v>
      </c>
      <c r="R45" s="4">
        <v>0</v>
      </c>
      <c r="S45" s="6">
        <v>0</v>
      </c>
      <c r="T45" s="6">
        <v>5</v>
      </c>
      <c r="U45" s="6">
        <v>23</v>
      </c>
      <c r="V45" s="6">
        <f>IF(ISERROR(VLOOKUP($S$45,'TAR FIN'!$A$1:$O$73,15,0)),0,VLOOKUP($S$45,'TAR FIN'!$A$1:$O$73,15,0))</f>
        <v>0</v>
      </c>
      <c r="W45" s="6">
        <f>IF(ISERROR(VLOOKUP($T$45,'TAR FIN'!$A$1:$O$73,15,0)),0,VLOOKUP($T$45,'TAR FIN'!$A$1:$O$73,15,0))</f>
        <v>264.92</v>
      </c>
      <c r="X45" s="6">
        <f>IF(ISERROR(VLOOKUP($U$45,'TAR FIN'!$A$1:$O$73,15,0)),0,VLOOKUP($U$45,'TAR FIN'!$A$1:$O$73,15,0))</f>
        <v>223.28</v>
      </c>
      <c r="Y45" s="6"/>
      <c r="Z45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45" s="6">
        <f>('TE BE'!$AB$13+'TE BF'!$AB$13+'TE CVA'!$AB$13)*(1-CUSTOS!$M$36)</f>
        <v>172.89062605364029</v>
      </c>
      <c r="AB45" s="6">
        <f>$K$45*$V$45</f>
        <v>0</v>
      </c>
      <c r="AC45" s="6">
        <f>$M$45*$W$45</f>
        <v>146.50076000000001</v>
      </c>
      <c r="AD45" s="6">
        <f>$O$45*$X$45</f>
        <v>123.47384000000001</v>
      </c>
      <c r="AE45" s="6">
        <f>$K$45*$Y$45</f>
        <v>0</v>
      </c>
      <c r="AF45" s="6">
        <f ca="1">$M$45*$Z$45</f>
        <v>175.25532177972372</v>
      </c>
      <c r="AG45" s="6">
        <f>$O$45*$AA$45</f>
        <v>95.608516207663087</v>
      </c>
    </row>
    <row r="46" spans="1:33" ht="11.25" customHeight="1" x14ac:dyDescent="0.25">
      <c r="A46" s="4" t="s">
        <v>21</v>
      </c>
      <c r="B46" s="4" t="s">
        <v>22</v>
      </c>
      <c r="C46" s="4" t="s">
        <v>23</v>
      </c>
      <c r="D46" s="4" t="s">
        <v>24</v>
      </c>
      <c r="E46" s="4" t="s">
        <v>39</v>
      </c>
      <c r="F46" s="4" t="s">
        <v>25</v>
      </c>
      <c r="G46" s="4" t="s">
        <v>25</v>
      </c>
      <c r="H46" s="4" t="s">
        <v>25</v>
      </c>
      <c r="I46" s="5">
        <v>44562</v>
      </c>
      <c r="J46" s="6">
        <v>0</v>
      </c>
      <c r="K46" s="6">
        <v>0</v>
      </c>
      <c r="L46" s="6">
        <v>0.495</v>
      </c>
      <c r="M46" s="6">
        <v>0.495</v>
      </c>
      <c r="N46" s="6">
        <v>0.495</v>
      </c>
      <c r="O46" s="6">
        <v>0.495</v>
      </c>
      <c r="P46" s="6">
        <v>3</v>
      </c>
      <c r="Q46" s="4" t="s">
        <v>26</v>
      </c>
      <c r="R46" s="4">
        <v>0</v>
      </c>
      <c r="S46" s="6">
        <v>0</v>
      </c>
      <c r="T46" s="6">
        <v>5</v>
      </c>
      <c r="U46" s="6">
        <v>23</v>
      </c>
      <c r="V46" s="6">
        <f>IF(ISERROR(VLOOKUP($S$46,'TAR FIN'!$A$1:$O$73,15,0)),0,VLOOKUP($S$46,'TAR FIN'!$A$1:$O$73,15,0))</f>
        <v>0</v>
      </c>
      <c r="W46" s="6">
        <f>IF(ISERROR(VLOOKUP($T$46,'TAR FIN'!$A$1:$O$73,15,0)),0,VLOOKUP($T$46,'TAR FIN'!$A$1:$O$73,15,0))</f>
        <v>264.92</v>
      </c>
      <c r="X46" s="6">
        <f>IF(ISERROR(VLOOKUP($U$46,'TAR FIN'!$A$1:$O$73,15,0)),0,VLOOKUP($U$46,'TAR FIN'!$A$1:$O$73,15,0))</f>
        <v>223.28</v>
      </c>
      <c r="Y46" s="6"/>
      <c r="Z46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46" s="6">
        <f>('TE BE'!$AB$13+'TE BF'!$AB$13+'TE CVA'!$AB$13)*(1-CUSTOS!$M$36)</f>
        <v>172.89062605364029</v>
      </c>
      <c r="AB46" s="6">
        <f>$K$46*$V$46</f>
        <v>0</v>
      </c>
      <c r="AC46" s="6">
        <f>$M$46*$W$46</f>
        <v>131.1354</v>
      </c>
      <c r="AD46" s="6">
        <f>$O$46*$X$46</f>
        <v>110.5236</v>
      </c>
      <c r="AE46" s="6">
        <f>$K$46*$Y$46</f>
        <v>0</v>
      </c>
      <c r="AF46" s="6">
        <f ca="1">$M$46*$Z$46</f>
        <v>156.87411262380331</v>
      </c>
      <c r="AG46" s="6">
        <f>$O$46*$AA$46</f>
        <v>85.580859896551942</v>
      </c>
    </row>
    <row r="47" spans="1:33" ht="11.25" customHeight="1" x14ac:dyDescent="0.25">
      <c r="A47" s="4" t="s">
        <v>21</v>
      </c>
      <c r="B47" s="4" t="s">
        <v>22</v>
      </c>
      <c r="C47" s="4" t="s">
        <v>23</v>
      </c>
      <c r="D47" s="4" t="s">
        <v>24</v>
      </c>
      <c r="E47" s="4" t="s">
        <v>39</v>
      </c>
      <c r="F47" s="4" t="s">
        <v>25</v>
      </c>
      <c r="G47" s="4" t="s">
        <v>25</v>
      </c>
      <c r="H47" s="4" t="s">
        <v>25</v>
      </c>
      <c r="I47" s="5">
        <v>44593</v>
      </c>
      <c r="J47" s="6">
        <v>0</v>
      </c>
      <c r="K47" s="6">
        <v>0</v>
      </c>
      <c r="L47" s="6">
        <v>0.49099999999999999</v>
      </c>
      <c r="M47" s="6">
        <v>0.49099999999999999</v>
      </c>
      <c r="N47" s="6">
        <v>0.49099999999999999</v>
      </c>
      <c r="O47" s="6">
        <v>0.49099999999999999</v>
      </c>
      <c r="P47" s="6">
        <v>3</v>
      </c>
      <c r="Q47" s="4" t="s">
        <v>26</v>
      </c>
      <c r="R47" s="4">
        <v>0</v>
      </c>
      <c r="S47" s="6">
        <v>0</v>
      </c>
      <c r="T47" s="6">
        <v>5</v>
      </c>
      <c r="U47" s="6">
        <v>23</v>
      </c>
      <c r="V47" s="6">
        <f>IF(ISERROR(VLOOKUP($S$47,'TAR FIN'!$A$1:$O$73,15,0)),0,VLOOKUP($S$47,'TAR FIN'!$A$1:$O$73,15,0))</f>
        <v>0</v>
      </c>
      <c r="W47" s="6">
        <f>IF(ISERROR(VLOOKUP($T$47,'TAR FIN'!$A$1:$O$73,15,0)),0,VLOOKUP($T$47,'TAR FIN'!$A$1:$O$73,15,0))</f>
        <v>264.92</v>
      </c>
      <c r="X47" s="6">
        <f>IF(ISERROR(VLOOKUP($U$47,'TAR FIN'!$A$1:$O$73,15,0)),0,VLOOKUP($U$47,'TAR FIN'!$A$1:$O$73,15,0))</f>
        <v>223.28</v>
      </c>
      <c r="Y47" s="6"/>
      <c r="Z47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47" s="6">
        <f>('TE BE'!$AB$13+'TE BF'!$AB$13+'TE CVA'!$AB$13)*(1-CUSTOS!$M$36)</f>
        <v>172.89062605364029</v>
      </c>
      <c r="AB47" s="6">
        <f>$K$47*$V$47</f>
        <v>0</v>
      </c>
      <c r="AC47" s="6">
        <f>$M$47*$W$47</f>
        <v>130.07572000000002</v>
      </c>
      <c r="AD47" s="6">
        <f>$O$47*$X$47</f>
        <v>109.63048000000001</v>
      </c>
      <c r="AE47" s="6">
        <f>$K$47*$Y$47</f>
        <v>0</v>
      </c>
      <c r="AF47" s="6">
        <f ca="1">$M$47*$Z$47</f>
        <v>155.60644302684329</v>
      </c>
      <c r="AG47" s="6">
        <f>$O$47*$AA$47</f>
        <v>84.889297392337383</v>
      </c>
    </row>
    <row r="48" spans="1:33" ht="11.25" customHeight="1" x14ac:dyDescent="0.25">
      <c r="A48" s="4" t="s">
        <v>21</v>
      </c>
      <c r="B48" s="4" t="s">
        <v>22</v>
      </c>
      <c r="C48" s="4" t="s">
        <v>23</v>
      </c>
      <c r="D48" s="4" t="s">
        <v>24</v>
      </c>
      <c r="E48" s="4" t="s">
        <v>39</v>
      </c>
      <c r="F48" s="4" t="s">
        <v>25</v>
      </c>
      <c r="G48" s="4" t="s">
        <v>25</v>
      </c>
      <c r="H48" s="4" t="s">
        <v>25</v>
      </c>
      <c r="I48" s="5">
        <v>44621</v>
      </c>
      <c r="J48" s="6">
        <v>0</v>
      </c>
      <c r="K48" s="6">
        <v>0</v>
      </c>
      <c r="L48" s="6">
        <v>3.1960000000000002</v>
      </c>
      <c r="M48" s="6">
        <v>3.1960000000000002</v>
      </c>
      <c r="N48" s="6">
        <v>3.1960000000000002</v>
      </c>
      <c r="O48" s="6">
        <v>3.1960000000000002</v>
      </c>
      <c r="P48" s="6">
        <v>19</v>
      </c>
      <c r="Q48" s="4" t="s">
        <v>26</v>
      </c>
      <c r="R48" s="4">
        <v>0</v>
      </c>
      <c r="S48" s="6">
        <v>0</v>
      </c>
      <c r="T48" s="6">
        <v>5</v>
      </c>
      <c r="U48" s="6">
        <v>23</v>
      </c>
      <c r="V48" s="6">
        <f>IF(ISERROR(VLOOKUP($S$48,'TAR FIN'!$A$1:$O$73,15,0)),0,VLOOKUP($S$48,'TAR FIN'!$A$1:$O$73,15,0))</f>
        <v>0</v>
      </c>
      <c r="W48" s="6">
        <f>IF(ISERROR(VLOOKUP($T$48,'TAR FIN'!$A$1:$O$73,15,0)),0,VLOOKUP($T$48,'TAR FIN'!$A$1:$O$73,15,0))</f>
        <v>264.92</v>
      </c>
      <c r="X48" s="6">
        <f>IF(ISERROR(VLOOKUP($U$48,'TAR FIN'!$A$1:$O$73,15,0)),0,VLOOKUP($U$48,'TAR FIN'!$A$1:$O$73,15,0))</f>
        <v>223.28</v>
      </c>
      <c r="Y48" s="6"/>
      <c r="Z48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48" s="6">
        <f>('TE BE'!$AB$13+'TE BF'!$AB$13+'TE CVA'!$AB$13)*(1-CUSTOS!$M$36)</f>
        <v>172.89062605364029</v>
      </c>
      <c r="AB48" s="6">
        <f>$K$48*$V$48</f>
        <v>0</v>
      </c>
      <c r="AC48" s="6">
        <f>$M$48*$W$48</f>
        <v>846.68432000000007</v>
      </c>
      <c r="AD48" s="6">
        <f>$O$48*$X$48</f>
        <v>713.60288000000003</v>
      </c>
      <c r="AE48" s="6">
        <f>$K$48*$Y$48</f>
        <v>0</v>
      </c>
      <c r="AF48" s="6">
        <f ca="1">$M$48*$Z$48</f>
        <v>1012.8680079710615</v>
      </c>
      <c r="AG48" s="6">
        <f>$O$48*$AA$48</f>
        <v>552.55844086743434</v>
      </c>
    </row>
    <row r="49" spans="1:33" ht="11.25" customHeight="1" x14ac:dyDescent="0.25">
      <c r="A49" s="4" t="s">
        <v>21</v>
      </c>
      <c r="B49" s="4" t="s">
        <v>22</v>
      </c>
      <c r="C49" s="4" t="s">
        <v>23</v>
      </c>
      <c r="D49" s="4" t="s">
        <v>24</v>
      </c>
      <c r="E49" s="4" t="s">
        <v>39</v>
      </c>
      <c r="F49" s="4" t="s">
        <v>25</v>
      </c>
      <c r="G49" s="4" t="s">
        <v>25</v>
      </c>
      <c r="H49" s="4" t="s">
        <v>25</v>
      </c>
      <c r="I49" s="5">
        <v>44652</v>
      </c>
      <c r="J49" s="6">
        <v>0</v>
      </c>
      <c r="K49" s="6">
        <v>0</v>
      </c>
      <c r="L49" s="6">
        <v>10.061</v>
      </c>
      <c r="M49" s="6">
        <v>10.061</v>
      </c>
      <c r="N49" s="6">
        <v>10.061</v>
      </c>
      <c r="O49" s="6">
        <v>10.061</v>
      </c>
      <c r="P49" s="6">
        <v>62</v>
      </c>
      <c r="Q49" s="4" t="s">
        <v>26</v>
      </c>
      <c r="R49" s="4">
        <v>0</v>
      </c>
      <c r="S49" s="6">
        <v>0</v>
      </c>
      <c r="T49" s="6">
        <v>5</v>
      </c>
      <c r="U49" s="6">
        <v>23</v>
      </c>
      <c r="V49" s="6">
        <f>IF(ISERROR(VLOOKUP($S$49,'TAR FIN'!$A$1:$O$73,15,0)),0,VLOOKUP($S$49,'TAR FIN'!$A$1:$O$73,15,0))</f>
        <v>0</v>
      </c>
      <c r="W49" s="6">
        <f>IF(ISERROR(VLOOKUP($T$49,'TAR FIN'!$A$1:$O$73,15,0)),0,VLOOKUP($T$49,'TAR FIN'!$A$1:$O$73,15,0))</f>
        <v>264.92</v>
      </c>
      <c r="X49" s="6">
        <f>IF(ISERROR(VLOOKUP($U$49,'TAR FIN'!$A$1:$O$73,15,0)),0,VLOOKUP($U$49,'TAR FIN'!$A$1:$O$73,15,0))</f>
        <v>223.28</v>
      </c>
      <c r="Y49" s="6"/>
      <c r="Z49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49" s="6">
        <f>('TE BE'!$AB$13+'TE BF'!$AB$13+'TE CVA'!$AB$13)*(1-CUSTOS!$M$36)</f>
        <v>172.89062605364029</v>
      </c>
      <c r="AB49" s="6">
        <f>$K$49*$V$49</f>
        <v>0</v>
      </c>
      <c r="AC49" s="6">
        <f>$M$49*$W$49</f>
        <v>2665.3601200000003</v>
      </c>
      <c r="AD49" s="6">
        <f>$O$49*$X$49</f>
        <v>2246.4200799999999</v>
      </c>
      <c r="AE49" s="6">
        <f>$K$49*$Y$49</f>
        <v>0</v>
      </c>
      <c r="AF49" s="6">
        <f ca="1">$M$49*$Z$49</f>
        <v>3188.5059537537077</v>
      </c>
      <c r="AG49" s="6">
        <f>$O$49*$AA$49</f>
        <v>1739.452588725675</v>
      </c>
    </row>
    <row r="50" spans="1:33" ht="11.25" customHeight="1" x14ac:dyDescent="0.25">
      <c r="A50" s="4" t="s">
        <v>21</v>
      </c>
      <c r="B50" s="4" t="s">
        <v>22</v>
      </c>
      <c r="C50" s="4" t="s">
        <v>23</v>
      </c>
      <c r="D50" s="4" t="s">
        <v>24</v>
      </c>
      <c r="E50" s="4" t="s">
        <v>39</v>
      </c>
      <c r="F50" s="4" t="s">
        <v>25</v>
      </c>
      <c r="G50" s="4" t="s">
        <v>25</v>
      </c>
      <c r="H50" s="4" t="s">
        <v>25</v>
      </c>
      <c r="I50" s="5">
        <v>44682</v>
      </c>
      <c r="J50" s="6">
        <v>0</v>
      </c>
      <c r="K50" s="6">
        <v>0</v>
      </c>
      <c r="L50" s="6">
        <v>11.696</v>
      </c>
      <c r="M50" s="6">
        <v>11.696</v>
      </c>
      <c r="N50" s="6">
        <v>11.696</v>
      </c>
      <c r="O50" s="6">
        <v>11.696</v>
      </c>
      <c r="P50" s="6">
        <v>73</v>
      </c>
      <c r="Q50" s="4" t="s">
        <v>26</v>
      </c>
      <c r="R50" s="4">
        <v>0</v>
      </c>
      <c r="S50" s="6">
        <v>0</v>
      </c>
      <c r="T50" s="6">
        <v>5</v>
      </c>
      <c r="U50" s="6">
        <v>23</v>
      </c>
      <c r="V50" s="6">
        <f>IF(ISERROR(VLOOKUP($S$50,'TAR FIN'!$A$1:$O$73,15,0)),0,VLOOKUP($S$50,'TAR FIN'!$A$1:$O$73,15,0))</f>
        <v>0</v>
      </c>
      <c r="W50" s="6">
        <f>IF(ISERROR(VLOOKUP($T$50,'TAR FIN'!$A$1:$O$73,15,0)),0,VLOOKUP($T$50,'TAR FIN'!$A$1:$O$73,15,0))</f>
        <v>264.92</v>
      </c>
      <c r="X50" s="6">
        <f>IF(ISERROR(VLOOKUP($U$50,'TAR FIN'!$A$1:$O$73,15,0)),0,VLOOKUP($U$50,'TAR FIN'!$A$1:$O$73,15,0))</f>
        <v>223.28</v>
      </c>
      <c r="Y50" s="6"/>
      <c r="Z50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50" s="6">
        <f>('TE BE'!$AB$13+'TE BF'!$AB$13+'TE CVA'!$AB$13)*(1-CUSTOS!$M$36)</f>
        <v>172.89062605364029</v>
      </c>
      <c r="AB50" s="6">
        <f>$K$50*$V$50</f>
        <v>0</v>
      </c>
      <c r="AC50" s="6">
        <f>$M$50*$W$50</f>
        <v>3098.50432</v>
      </c>
      <c r="AD50" s="6">
        <f>$O$50*$X$50</f>
        <v>2611.48288</v>
      </c>
      <c r="AE50" s="6">
        <f>$K$50*$Y$50</f>
        <v>0</v>
      </c>
      <c r="AF50" s="6">
        <f ca="1">$M$50*$Z$50</f>
        <v>3706.6659015111186</v>
      </c>
      <c r="AG50" s="6">
        <f>$O$50*$AA$50</f>
        <v>2022.1287623233768</v>
      </c>
    </row>
    <row r="51" spans="1:33" ht="11.25" customHeight="1" x14ac:dyDescent="0.25">
      <c r="A51" s="4" t="s">
        <v>21</v>
      </c>
      <c r="B51" s="4" t="s">
        <v>22</v>
      </c>
      <c r="C51" s="4" t="s">
        <v>23</v>
      </c>
      <c r="D51" s="4" t="s">
        <v>24</v>
      </c>
      <c r="E51" s="4" t="s">
        <v>39</v>
      </c>
      <c r="F51" s="4" t="s">
        <v>25</v>
      </c>
      <c r="G51" s="4" t="s">
        <v>25</v>
      </c>
      <c r="H51" s="4" t="s">
        <v>25</v>
      </c>
      <c r="I51" s="5">
        <v>44713</v>
      </c>
      <c r="J51" s="6">
        <v>0</v>
      </c>
      <c r="K51" s="6">
        <v>0</v>
      </c>
      <c r="L51" s="6">
        <v>10.15</v>
      </c>
      <c r="M51" s="6">
        <v>10.15</v>
      </c>
      <c r="N51" s="6">
        <v>10.15</v>
      </c>
      <c r="O51" s="6">
        <v>10.15</v>
      </c>
      <c r="P51" s="6">
        <v>62</v>
      </c>
      <c r="Q51" s="4" t="s">
        <v>26</v>
      </c>
      <c r="R51" s="4">
        <v>0</v>
      </c>
      <c r="S51" s="6">
        <v>0</v>
      </c>
      <c r="T51" s="6">
        <v>5</v>
      </c>
      <c r="U51" s="6">
        <v>23</v>
      </c>
      <c r="V51" s="6">
        <f>IF(ISERROR(VLOOKUP($S$51,'TAR FIN'!$A$1:$O$73,15,0)),0,VLOOKUP($S$51,'TAR FIN'!$A$1:$O$73,15,0))</f>
        <v>0</v>
      </c>
      <c r="W51" s="6">
        <f>IF(ISERROR(VLOOKUP($T$51,'TAR FIN'!$A$1:$O$73,15,0)),0,VLOOKUP($T$51,'TAR FIN'!$A$1:$O$73,15,0))</f>
        <v>264.92</v>
      </c>
      <c r="X51" s="6">
        <f>IF(ISERROR(VLOOKUP($U$51,'TAR FIN'!$A$1:$O$73,15,0)),0,VLOOKUP($U$51,'TAR FIN'!$A$1:$O$73,15,0))</f>
        <v>223.28</v>
      </c>
      <c r="Y51" s="6"/>
      <c r="Z51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51" s="6">
        <f>('TE BE'!$AB$13+'TE BF'!$AB$13+'TE CVA'!$AB$13)*(1-CUSTOS!$M$36)</f>
        <v>172.89062605364029</v>
      </c>
      <c r="AB51" s="6">
        <f>$K$51*$V$51</f>
        <v>0</v>
      </c>
      <c r="AC51" s="6">
        <f>$M$51*$W$51</f>
        <v>2688.9380000000001</v>
      </c>
      <c r="AD51" s="6">
        <f>$O$51*$X$51</f>
        <v>2266.2919999999999</v>
      </c>
      <c r="AE51" s="6">
        <f>$K$51*$Y$51</f>
        <v>0</v>
      </c>
      <c r="AF51" s="6">
        <f ca="1">$M$51*$Z$51</f>
        <v>3216.7116022860682</v>
      </c>
      <c r="AG51" s="6">
        <f>$O$51*$AA$51</f>
        <v>1754.839854444449</v>
      </c>
    </row>
    <row r="52" spans="1:33" ht="11.25" customHeight="1" x14ac:dyDescent="0.25">
      <c r="A52" s="4" t="s">
        <v>21</v>
      </c>
      <c r="B52" s="4" t="s">
        <v>22</v>
      </c>
      <c r="C52" s="4" t="s">
        <v>23</v>
      </c>
      <c r="D52" s="4" t="s">
        <v>24</v>
      </c>
      <c r="E52" s="4" t="s">
        <v>39</v>
      </c>
      <c r="F52" s="4" t="s">
        <v>25</v>
      </c>
      <c r="G52" s="4" t="s">
        <v>25</v>
      </c>
      <c r="H52" s="4" t="s">
        <v>25</v>
      </c>
      <c r="I52" s="5">
        <v>44743</v>
      </c>
      <c r="J52" s="6">
        <v>0</v>
      </c>
      <c r="K52" s="6">
        <v>0</v>
      </c>
      <c r="L52" s="6">
        <v>10.058</v>
      </c>
      <c r="M52" s="6">
        <v>10.058</v>
      </c>
      <c r="N52" s="6">
        <v>10.058</v>
      </c>
      <c r="O52" s="6">
        <v>10.058</v>
      </c>
      <c r="P52" s="6">
        <v>61</v>
      </c>
      <c r="Q52" s="4" t="s">
        <v>26</v>
      </c>
      <c r="R52" s="4">
        <v>0</v>
      </c>
      <c r="S52" s="6">
        <v>0</v>
      </c>
      <c r="T52" s="6">
        <v>5</v>
      </c>
      <c r="U52" s="6">
        <v>23</v>
      </c>
      <c r="V52" s="6">
        <f>IF(ISERROR(VLOOKUP($S$52,'TAR FIN'!$A$1:$O$73,15,0)),0,VLOOKUP($S$52,'TAR FIN'!$A$1:$O$73,15,0))</f>
        <v>0</v>
      </c>
      <c r="W52" s="6">
        <f>IF(ISERROR(VLOOKUP($T$52,'TAR FIN'!$A$1:$O$73,15,0)),0,VLOOKUP($T$52,'TAR FIN'!$A$1:$O$73,15,0))</f>
        <v>264.92</v>
      </c>
      <c r="X52" s="6">
        <f>IF(ISERROR(VLOOKUP($U$52,'TAR FIN'!$A$1:$O$73,15,0)),0,VLOOKUP($U$52,'TAR FIN'!$A$1:$O$73,15,0))</f>
        <v>223.28</v>
      </c>
      <c r="Y52" s="6"/>
      <c r="Z52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52" s="6">
        <f>('TE BE'!$AB$13+'TE BF'!$AB$13+'TE CVA'!$AB$13)*(1-CUSTOS!$M$36)</f>
        <v>172.89062605364029</v>
      </c>
      <c r="AB52" s="6">
        <f>$K$52*$V$52</f>
        <v>0</v>
      </c>
      <c r="AC52" s="6">
        <f>$M$52*$W$52</f>
        <v>2664.5653600000001</v>
      </c>
      <c r="AD52" s="6">
        <f>$O$52*$X$52</f>
        <v>2245.7502399999998</v>
      </c>
      <c r="AE52" s="6">
        <f>$K$52*$Y$52</f>
        <v>0</v>
      </c>
      <c r="AF52" s="6">
        <f ca="1">$M$52*$Z$52</f>
        <v>3187.5552015559874</v>
      </c>
      <c r="AG52" s="6">
        <f>$O$52*$AA$52</f>
        <v>1738.933916847514</v>
      </c>
    </row>
    <row r="53" spans="1:33" ht="11.25" customHeight="1" x14ac:dyDescent="0.25">
      <c r="A53" s="4" t="s">
        <v>21</v>
      </c>
      <c r="B53" s="4" t="s">
        <v>22</v>
      </c>
      <c r="C53" s="4" t="s">
        <v>23</v>
      </c>
      <c r="D53" s="4" t="s">
        <v>24</v>
      </c>
      <c r="E53" s="4" t="s">
        <v>39</v>
      </c>
      <c r="F53" s="4" t="s">
        <v>25</v>
      </c>
      <c r="G53" s="4" t="s">
        <v>25</v>
      </c>
      <c r="H53" s="4" t="s">
        <v>25</v>
      </c>
      <c r="I53" s="5">
        <v>44774</v>
      </c>
      <c r="J53" s="6">
        <v>0</v>
      </c>
      <c r="K53" s="6">
        <v>0</v>
      </c>
      <c r="L53" s="6">
        <v>9.83</v>
      </c>
      <c r="M53" s="6">
        <v>9.83</v>
      </c>
      <c r="N53" s="6">
        <v>9.83</v>
      </c>
      <c r="O53" s="6">
        <v>9.83</v>
      </c>
      <c r="P53" s="6">
        <v>60</v>
      </c>
      <c r="Q53" s="4" t="s">
        <v>26</v>
      </c>
      <c r="R53" s="4">
        <v>0</v>
      </c>
      <c r="S53" s="6">
        <v>0</v>
      </c>
      <c r="T53" s="6">
        <v>5</v>
      </c>
      <c r="U53" s="6">
        <v>23</v>
      </c>
      <c r="V53" s="6">
        <f>IF(ISERROR(VLOOKUP($S$53,'TAR FIN'!$A$1:$O$73,15,0)),0,VLOOKUP($S$53,'TAR FIN'!$A$1:$O$73,15,0))</f>
        <v>0</v>
      </c>
      <c r="W53" s="6">
        <f>IF(ISERROR(VLOOKUP($T$53,'TAR FIN'!$A$1:$O$73,15,0)),0,VLOOKUP($T$53,'TAR FIN'!$A$1:$O$73,15,0))</f>
        <v>264.92</v>
      </c>
      <c r="X53" s="6">
        <f>IF(ISERROR(VLOOKUP($U$53,'TAR FIN'!$A$1:$O$73,15,0)),0,VLOOKUP($U$53,'TAR FIN'!$A$1:$O$73,15,0))</f>
        <v>223.28</v>
      </c>
      <c r="Y53" s="6"/>
      <c r="Z53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53" s="6">
        <f>('TE BE'!$AB$13+'TE BF'!$AB$13+'TE CVA'!$AB$13)*(1-CUSTOS!$M$36)</f>
        <v>172.89062605364029</v>
      </c>
      <c r="AB53" s="6">
        <f>$K$53*$V$53</f>
        <v>0</v>
      </c>
      <c r="AC53" s="6">
        <f>$M$53*$W$53</f>
        <v>2604.1636000000003</v>
      </c>
      <c r="AD53" s="6">
        <f>$O$53*$X$53</f>
        <v>2194.8424</v>
      </c>
      <c r="AE53" s="6">
        <f>$K$53*$Y$53</f>
        <v>0</v>
      </c>
      <c r="AF53" s="6">
        <f ca="1">$M$53*$Z$53</f>
        <v>3115.2980345292663</v>
      </c>
      <c r="AG53" s="6">
        <f>$O$53*$AA$53</f>
        <v>1699.514854107284</v>
      </c>
    </row>
    <row r="54" spans="1:33" ht="11.25" customHeight="1" x14ac:dyDescent="0.25">
      <c r="A54" s="4" t="s">
        <v>21</v>
      </c>
      <c r="B54" s="4" t="s">
        <v>22</v>
      </c>
      <c r="C54" s="4" t="s">
        <v>23</v>
      </c>
      <c r="D54" s="4" t="s">
        <v>24</v>
      </c>
      <c r="E54" s="4" t="s">
        <v>39</v>
      </c>
      <c r="F54" s="4" t="s">
        <v>25</v>
      </c>
      <c r="G54" s="4" t="s">
        <v>25</v>
      </c>
      <c r="H54" s="4" t="s">
        <v>25</v>
      </c>
      <c r="I54" s="5">
        <v>44805</v>
      </c>
      <c r="J54" s="6">
        <v>0</v>
      </c>
      <c r="K54" s="6">
        <v>0</v>
      </c>
      <c r="L54" s="6">
        <v>11.214</v>
      </c>
      <c r="M54" s="6">
        <v>11.214</v>
      </c>
      <c r="N54" s="6">
        <v>11.214</v>
      </c>
      <c r="O54" s="6">
        <v>11.214</v>
      </c>
      <c r="P54" s="6">
        <v>69</v>
      </c>
      <c r="Q54" s="4" t="s">
        <v>26</v>
      </c>
      <c r="R54" s="4">
        <v>0</v>
      </c>
      <c r="S54" s="6">
        <v>0</v>
      </c>
      <c r="T54" s="6">
        <v>5</v>
      </c>
      <c r="U54" s="6">
        <v>23</v>
      </c>
      <c r="V54" s="6">
        <f>IF(ISERROR(VLOOKUP($S$54,'TAR FIN'!$A$1:$O$73,15,0)),0,VLOOKUP($S$54,'TAR FIN'!$A$1:$O$73,15,0))</f>
        <v>0</v>
      </c>
      <c r="W54" s="6">
        <f>IF(ISERROR(VLOOKUP($T$54,'TAR FIN'!$A$1:$O$73,15,0)),0,VLOOKUP($T$54,'TAR FIN'!$A$1:$O$73,15,0))</f>
        <v>264.92</v>
      </c>
      <c r="X54" s="6">
        <f>IF(ISERROR(VLOOKUP($U$54,'TAR FIN'!$A$1:$O$73,15,0)),0,VLOOKUP($U$54,'TAR FIN'!$A$1:$O$73,15,0))</f>
        <v>223.28</v>
      </c>
      <c r="Y54" s="6"/>
      <c r="Z54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54" s="6">
        <f>('TE BE'!$AB$13+'TE BF'!$AB$13+'TE CVA'!$AB$13)*(1-CUSTOS!$M$36)</f>
        <v>172.89062605364029</v>
      </c>
      <c r="AB54" s="6">
        <f>$K$54*$V$54</f>
        <v>0</v>
      </c>
      <c r="AC54" s="6">
        <f>$M$54*$W$54</f>
        <v>2970.8128800000004</v>
      </c>
      <c r="AD54" s="6">
        <f>$O$54*$X$54</f>
        <v>2503.8619200000003</v>
      </c>
      <c r="AE54" s="6">
        <f>$K$54*$Y$54</f>
        <v>0</v>
      </c>
      <c r="AF54" s="6">
        <f ca="1">$M$54*$Z$54</f>
        <v>3553.9117150774355</v>
      </c>
      <c r="AG54" s="6">
        <f>$O$54*$AA$54</f>
        <v>1938.7954805655222</v>
      </c>
    </row>
    <row r="55" spans="1:33" ht="11.25" customHeight="1" x14ac:dyDescent="0.25">
      <c r="A55" s="4" t="s">
        <v>21</v>
      </c>
      <c r="B55" s="4" t="s">
        <v>22</v>
      </c>
      <c r="C55" s="4" t="s">
        <v>23</v>
      </c>
      <c r="D55" s="4" t="s">
        <v>24</v>
      </c>
      <c r="E55" s="4" t="s">
        <v>39</v>
      </c>
      <c r="F55" s="4" t="s">
        <v>25</v>
      </c>
      <c r="G55" s="4" t="s">
        <v>25</v>
      </c>
      <c r="H55" s="4" t="s">
        <v>25</v>
      </c>
      <c r="I55" s="5">
        <v>44835</v>
      </c>
      <c r="J55" s="6">
        <v>0</v>
      </c>
      <c r="K55" s="6">
        <v>0</v>
      </c>
      <c r="L55" s="6">
        <v>9.5440000000000005</v>
      </c>
      <c r="M55" s="6">
        <v>9.5440000000000005</v>
      </c>
      <c r="N55" s="6">
        <v>9.5440000000000005</v>
      </c>
      <c r="O55" s="6">
        <v>9.5440000000000005</v>
      </c>
      <c r="P55" s="6">
        <v>61</v>
      </c>
      <c r="Q55" s="4" t="s">
        <v>26</v>
      </c>
      <c r="R55" s="4">
        <v>0</v>
      </c>
      <c r="S55" s="6">
        <v>0</v>
      </c>
      <c r="T55" s="6">
        <v>5</v>
      </c>
      <c r="U55" s="6">
        <v>23</v>
      </c>
      <c r="V55" s="6">
        <f>IF(ISERROR(VLOOKUP($S$55,'TAR FIN'!$A$1:$O$73,15,0)),0,VLOOKUP($S$55,'TAR FIN'!$A$1:$O$73,15,0))</f>
        <v>0</v>
      </c>
      <c r="W55" s="6">
        <f>IF(ISERROR(VLOOKUP($T$55,'TAR FIN'!$A$1:$O$73,15,0)),0,VLOOKUP($T$55,'TAR FIN'!$A$1:$O$73,15,0))</f>
        <v>264.92</v>
      </c>
      <c r="X55" s="6">
        <f>IF(ISERROR(VLOOKUP($U$55,'TAR FIN'!$A$1:$O$73,15,0)),0,VLOOKUP($U$55,'TAR FIN'!$A$1:$O$73,15,0))</f>
        <v>223.28</v>
      </c>
      <c r="Y55" s="6"/>
      <c r="Z55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55" s="6">
        <f>('TE BE'!$AB$13+'TE BF'!$AB$13+'TE CVA'!$AB$13)*(1-CUSTOS!$M$36)</f>
        <v>172.89062605364029</v>
      </c>
      <c r="AB55" s="6">
        <f>$K$55*$V$55</f>
        <v>0</v>
      </c>
      <c r="AC55" s="6">
        <f>$M$55*$W$55</f>
        <v>2528.3964800000003</v>
      </c>
      <c r="AD55" s="6">
        <f>$O$55*$X$55</f>
        <v>2130.98432</v>
      </c>
      <c r="AE55" s="6">
        <f>$K$55*$Y$55</f>
        <v>0</v>
      </c>
      <c r="AF55" s="6">
        <f ca="1">$M$55*$Z$55</f>
        <v>3024.6596583466244</v>
      </c>
      <c r="AG55" s="6">
        <f>$O$55*$AA$55</f>
        <v>1650.068135055943</v>
      </c>
    </row>
    <row r="56" spans="1:33" ht="11.25" customHeight="1" x14ac:dyDescent="0.25">
      <c r="A56" s="4" t="s">
        <v>21</v>
      </c>
      <c r="B56" s="4" t="s">
        <v>22</v>
      </c>
      <c r="C56" s="4" t="s">
        <v>23</v>
      </c>
      <c r="D56" s="4" t="s">
        <v>24</v>
      </c>
      <c r="E56" s="4" t="s">
        <v>40</v>
      </c>
      <c r="F56" s="4" t="s">
        <v>25</v>
      </c>
      <c r="G56" s="4" t="s">
        <v>25</v>
      </c>
      <c r="H56" s="4" t="s">
        <v>25</v>
      </c>
      <c r="I56" s="5">
        <v>44531</v>
      </c>
      <c r="J56" s="6">
        <v>0</v>
      </c>
      <c r="K56" s="6">
        <v>0</v>
      </c>
      <c r="L56" s="6">
        <v>1.401</v>
      </c>
      <c r="M56" s="6">
        <v>1.401</v>
      </c>
      <c r="N56" s="6">
        <v>1.401</v>
      </c>
      <c r="O56" s="6">
        <v>1.401</v>
      </c>
      <c r="P56" s="6">
        <v>4</v>
      </c>
      <c r="Q56" s="4" t="s">
        <v>26</v>
      </c>
      <c r="R56" s="4">
        <v>0</v>
      </c>
      <c r="S56" s="6">
        <v>0</v>
      </c>
      <c r="T56" s="6">
        <v>37</v>
      </c>
      <c r="U56" s="6">
        <v>62</v>
      </c>
      <c r="V56" s="6">
        <f>IF(ISERROR(VLOOKUP($S$56,'TAR FIN'!$A$1:$O$73,15,0)),0,VLOOKUP($S$56,'TAR FIN'!$A$1:$O$73,15,0))</f>
        <v>0</v>
      </c>
      <c r="W56" s="6">
        <f>IF(ISERROR(VLOOKUP($T$56,'TAR FIN'!$A$1:$O$73,15,0)),0,VLOOKUP($T$56,'TAR FIN'!$A$1:$O$73,15,0))</f>
        <v>294.36</v>
      </c>
      <c r="X56" s="6">
        <f>IF(ISERROR(VLOOKUP($U$56,'TAR FIN'!$A$1:$O$73,15,0)),0,VLOOKUP($U$56,'TAR FIN'!$A$1:$O$73,15,0))</f>
        <v>248.09</v>
      </c>
      <c r="Y56" s="6"/>
      <c r="Z56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56" s="6">
        <f>('TE BE'!$AB$14+'TE BF'!$AB$14+'TE CVA'!$AB$14)*(1-CUSTOS!$M$37)</f>
        <v>192.10069561515587</v>
      </c>
      <c r="AB56" s="6">
        <f>$K$56*$V$56</f>
        <v>0</v>
      </c>
      <c r="AC56" s="6">
        <f>$M$56*$W$56</f>
        <v>412.39836000000003</v>
      </c>
      <c r="AD56" s="6">
        <f>$O$56*$X$56</f>
        <v>347.57409000000001</v>
      </c>
      <c r="AE56" s="6">
        <f>$K$56*$Y$56</f>
        <v>0</v>
      </c>
      <c r="AF56" s="6">
        <f ca="1">$M$56*$Z$56</f>
        <v>493.33475148361043</v>
      </c>
      <c r="AG56" s="6">
        <f>$O$56*$AA$56</f>
        <v>269.13307455683338</v>
      </c>
    </row>
    <row r="57" spans="1:33" ht="11.25" customHeight="1" x14ac:dyDescent="0.25">
      <c r="A57" s="4" t="s">
        <v>21</v>
      </c>
      <c r="B57" s="4" t="s">
        <v>22</v>
      </c>
      <c r="C57" s="4" t="s">
        <v>23</v>
      </c>
      <c r="D57" s="4" t="s">
        <v>24</v>
      </c>
      <c r="E57" s="4" t="s">
        <v>40</v>
      </c>
      <c r="F57" s="4" t="s">
        <v>25</v>
      </c>
      <c r="G57" s="4" t="s">
        <v>25</v>
      </c>
      <c r="H57" s="4" t="s">
        <v>25</v>
      </c>
      <c r="I57" s="5">
        <v>44562</v>
      </c>
      <c r="J57" s="6">
        <v>0</v>
      </c>
      <c r="K57" s="6">
        <v>0</v>
      </c>
      <c r="L57" s="6">
        <v>1.125</v>
      </c>
      <c r="M57" s="6">
        <v>1.125</v>
      </c>
      <c r="N57" s="6">
        <v>1.125</v>
      </c>
      <c r="O57" s="6">
        <v>1.125</v>
      </c>
      <c r="P57" s="6">
        <v>3</v>
      </c>
      <c r="Q57" s="4" t="s">
        <v>26</v>
      </c>
      <c r="R57" s="4">
        <v>0</v>
      </c>
      <c r="S57" s="6">
        <v>0</v>
      </c>
      <c r="T57" s="6">
        <v>37</v>
      </c>
      <c r="U57" s="6">
        <v>62</v>
      </c>
      <c r="V57" s="6">
        <f>IF(ISERROR(VLOOKUP($S$57,'TAR FIN'!$A$1:$O$73,15,0)),0,VLOOKUP($S$57,'TAR FIN'!$A$1:$O$73,15,0))</f>
        <v>0</v>
      </c>
      <c r="W57" s="6">
        <f>IF(ISERROR(VLOOKUP($T$57,'TAR FIN'!$A$1:$O$73,15,0)),0,VLOOKUP($T$57,'TAR FIN'!$A$1:$O$73,15,0))</f>
        <v>294.36</v>
      </c>
      <c r="X57" s="6">
        <f>IF(ISERROR(VLOOKUP($U$57,'TAR FIN'!$A$1:$O$73,15,0)),0,VLOOKUP($U$57,'TAR FIN'!$A$1:$O$73,15,0))</f>
        <v>248.09</v>
      </c>
      <c r="Y57" s="6"/>
      <c r="Z57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57" s="6">
        <f>('TE BE'!$AB$14+'TE BF'!$AB$14+'TE CVA'!$AB$14)*(1-CUSTOS!$M$37)</f>
        <v>192.10069561515587</v>
      </c>
      <c r="AB57" s="6">
        <f>$K$57*$V$57</f>
        <v>0</v>
      </c>
      <c r="AC57" s="6">
        <f>$M$57*$W$57</f>
        <v>331.15500000000003</v>
      </c>
      <c r="AD57" s="6">
        <f>$O$57*$X$57</f>
        <v>279.10124999999999</v>
      </c>
      <c r="AE57" s="6">
        <f>$K$57*$Y$57</f>
        <v>0</v>
      </c>
      <c r="AF57" s="6">
        <f ca="1">$M$57*$Z$57</f>
        <v>396.14674905000834</v>
      </c>
      <c r="AG57" s="6">
        <f>$O$57*$AA$57</f>
        <v>216.11328256705036</v>
      </c>
    </row>
    <row r="58" spans="1:33" ht="11.25" customHeight="1" x14ac:dyDescent="0.25">
      <c r="A58" s="4" t="s">
        <v>21</v>
      </c>
      <c r="B58" s="4" t="s">
        <v>22</v>
      </c>
      <c r="C58" s="4" t="s">
        <v>23</v>
      </c>
      <c r="D58" s="4" t="s">
        <v>24</v>
      </c>
      <c r="E58" s="4" t="s">
        <v>40</v>
      </c>
      <c r="F58" s="4" t="s">
        <v>25</v>
      </c>
      <c r="G58" s="4" t="s">
        <v>25</v>
      </c>
      <c r="H58" s="4" t="s">
        <v>25</v>
      </c>
      <c r="I58" s="5">
        <v>44593</v>
      </c>
      <c r="J58" s="6">
        <v>0</v>
      </c>
      <c r="K58" s="6">
        <v>0</v>
      </c>
      <c r="L58" s="6">
        <v>1.113</v>
      </c>
      <c r="M58" s="6">
        <v>1.113</v>
      </c>
      <c r="N58" s="6">
        <v>1.113</v>
      </c>
      <c r="O58" s="6">
        <v>1.113</v>
      </c>
      <c r="P58" s="6">
        <v>3</v>
      </c>
      <c r="Q58" s="4" t="s">
        <v>26</v>
      </c>
      <c r="R58" s="4">
        <v>0</v>
      </c>
      <c r="S58" s="6">
        <v>0</v>
      </c>
      <c r="T58" s="6">
        <v>37</v>
      </c>
      <c r="U58" s="6">
        <v>62</v>
      </c>
      <c r="V58" s="6">
        <f>IF(ISERROR(VLOOKUP($S$58,'TAR FIN'!$A$1:$O$73,15,0)),0,VLOOKUP($S$58,'TAR FIN'!$A$1:$O$73,15,0))</f>
        <v>0</v>
      </c>
      <c r="W58" s="6">
        <f>IF(ISERROR(VLOOKUP($T$58,'TAR FIN'!$A$1:$O$73,15,0)),0,VLOOKUP($T$58,'TAR FIN'!$A$1:$O$73,15,0))</f>
        <v>294.36</v>
      </c>
      <c r="X58" s="6">
        <f>IF(ISERROR(VLOOKUP($U$58,'TAR FIN'!$A$1:$O$73,15,0)),0,VLOOKUP($U$58,'TAR FIN'!$A$1:$O$73,15,0))</f>
        <v>248.09</v>
      </c>
      <c r="Y58" s="6"/>
      <c r="Z58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58" s="6">
        <f>('TE BE'!$AB$14+'TE BF'!$AB$14+'TE CVA'!$AB$14)*(1-CUSTOS!$M$37)</f>
        <v>192.10069561515587</v>
      </c>
      <c r="AB58" s="6">
        <f>$K$58*$V$58</f>
        <v>0</v>
      </c>
      <c r="AC58" s="6">
        <f>$M$58*$W$58</f>
        <v>327.62268</v>
      </c>
      <c r="AD58" s="6">
        <f>$O$58*$X$58</f>
        <v>276.12416999999999</v>
      </c>
      <c r="AE58" s="6">
        <f>$K$58*$Y$58</f>
        <v>0</v>
      </c>
      <c r="AF58" s="6">
        <f ca="1">$M$58*$Z$58</f>
        <v>391.92118372680824</v>
      </c>
      <c r="AG58" s="6">
        <f>$O$58*$AA$58</f>
        <v>213.80807421966847</v>
      </c>
    </row>
    <row r="59" spans="1:33" ht="11.25" customHeight="1" x14ac:dyDescent="0.25">
      <c r="A59" s="4" t="s">
        <v>21</v>
      </c>
      <c r="B59" s="4" t="s">
        <v>22</v>
      </c>
      <c r="C59" s="4" t="s">
        <v>23</v>
      </c>
      <c r="D59" s="4" t="s">
        <v>24</v>
      </c>
      <c r="E59" s="4" t="s">
        <v>40</v>
      </c>
      <c r="F59" s="4" t="s">
        <v>25</v>
      </c>
      <c r="G59" s="4" t="s">
        <v>25</v>
      </c>
      <c r="H59" s="4" t="s">
        <v>25</v>
      </c>
      <c r="I59" s="5">
        <v>44621</v>
      </c>
      <c r="J59" s="6">
        <v>0</v>
      </c>
      <c r="K59" s="6">
        <v>0</v>
      </c>
      <c r="L59" s="6">
        <v>4.9450000000000003</v>
      </c>
      <c r="M59" s="6">
        <v>4.9450000000000003</v>
      </c>
      <c r="N59" s="6">
        <v>4.9450000000000003</v>
      </c>
      <c r="O59" s="6">
        <v>4.9450000000000003</v>
      </c>
      <c r="P59" s="6">
        <v>16</v>
      </c>
      <c r="Q59" s="4" t="s">
        <v>26</v>
      </c>
      <c r="R59" s="4">
        <v>0</v>
      </c>
      <c r="S59" s="6">
        <v>0</v>
      </c>
      <c r="T59" s="6">
        <v>37</v>
      </c>
      <c r="U59" s="6">
        <v>62</v>
      </c>
      <c r="V59" s="6">
        <f>IF(ISERROR(VLOOKUP($S$59,'TAR FIN'!$A$1:$O$73,15,0)),0,VLOOKUP($S$59,'TAR FIN'!$A$1:$O$73,15,0))</f>
        <v>0</v>
      </c>
      <c r="W59" s="6">
        <f>IF(ISERROR(VLOOKUP($T$59,'TAR FIN'!$A$1:$O$73,15,0)),0,VLOOKUP($T$59,'TAR FIN'!$A$1:$O$73,15,0))</f>
        <v>294.36</v>
      </c>
      <c r="X59" s="6">
        <f>IF(ISERROR(VLOOKUP($U$59,'TAR FIN'!$A$1:$O$73,15,0)),0,VLOOKUP($U$59,'TAR FIN'!$A$1:$O$73,15,0))</f>
        <v>248.09</v>
      </c>
      <c r="Y59" s="6"/>
      <c r="Z59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59" s="6">
        <f>('TE BE'!$AB$14+'TE BF'!$AB$14+'TE CVA'!$AB$14)*(1-CUSTOS!$M$37)</f>
        <v>192.10069561515587</v>
      </c>
      <c r="AB59" s="6">
        <f>$K$59*$V$59</f>
        <v>0</v>
      </c>
      <c r="AC59" s="6">
        <f>$M$59*$W$59</f>
        <v>1455.6102000000001</v>
      </c>
      <c r="AD59" s="6">
        <f>$O$59*$X$59</f>
        <v>1226.8050500000002</v>
      </c>
      <c r="AE59" s="6">
        <f>$K$59*$Y$59</f>
        <v>0</v>
      </c>
      <c r="AF59" s="6">
        <f ca="1">$M$59*$Z$59</f>
        <v>1741.2850436020369</v>
      </c>
      <c r="AG59" s="6">
        <f>$O$59*$AA$59</f>
        <v>949.9379398169458</v>
      </c>
    </row>
    <row r="60" spans="1:33" ht="11.25" customHeight="1" x14ac:dyDescent="0.25">
      <c r="A60" s="4" t="s">
        <v>21</v>
      </c>
      <c r="B60" s="4" t="s">
        <v>22</v>
      </c>
      <c r="C60" s="4" t="s">
        <v>23</v>
      </c>
      <c r="D60" s="4" t="s">
        <v>24</v>
      </c>
      <c r="E60" s="4" t="s">
        <v>40</v>
      </c>
      <c r="F60" s="4" t="s">
        <v>25</v>
      </c>
      <c r="G60" s="4" t="s">
        <v>25</v>
      </c>
      <c r="H60" s="4" t="s">
        <v>25</v>
      </c>
      <c r="I60" s="5">
        <v>44652</v>
      </c>
      <c r="J60" s="6">
        <v>0</v>
      </c>
      <c r="K60" s="6">
        <v>0</v>
      </c>
      <c r="L60" s="6">
        <v>7.3570000000000002</v>
      </c>
      <c r="M60" s="6">
        <v>7.3570000000000002</v>
      </c>
      <c r="N60" s="6">
        <v>7.3570000000000002</v>
      </c>
      <c r="O60" s="6">
        <v>7.3570000000000002</v>
      </c>
      <c r="P60" s="6">
        <v>24</v>
      </c>
      <c r="Q60" s="4" t="s">
        <v>26</v>
      </c>
      <c r="R60" s="4">
        <v>0</v>
      </c>
      <c r="S60" s="6">
        <v>0</v>
      </c>
      <c r="T60" s="6">
        <v>37</v>
      </c>
      <c r="U60" s="6">
        <v>62</v>
      </c>
      <c r="V60" s="6">
        <f>IF(ISERROR(VLOOKUP($S$60,'TAR FIN'!$A$1:$O$73,15,0)),0,VLOOKUP($S$60,'TAR FIN'!$A$1:$O$73,15,0))</f>
        <v>0</v>
      </c>
      <c r="W60" s="6">
        <f>IF(ISERROR(VLOOKUP($T$60,'TAR FIN'!$A$1:$O$73,15,0)),0,VLOOKUP($T$60,'TAR FIN'!$A$1:$O$73,15,0))</f>
        <v>294.36</v>
      </c>
      <c r="X60" s="6">
        <f>IF(ISERROR(VLOOKUP($U$60,'TAR FIN'!$A$1:$O$73,15,0)),0,VLOOKUP($U$60,'TAR FIN'!$A$1:$O$73,15,0))</f>
        <v>248.09</v>
      </c>
      <c r="Y60" s="6"/>
      <c r="Z60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60" s="6">
        <f>('TE BE'!$AB$14+'TE BF'!$AB$14+'TE CVA'!$AB$14)*(1-CUSTOS!$M$37)</f>
        <v>192.10069561515587</v>
      </c>
      <c r="AB60" s="6">
        <f>$K$60*$V$60</f>
        <v>0</v>
      </c>
      <c r="AC60" s="6">
        <f>$M$60*$W$60</f>
        <v>2165.6065200000003</v>
      </c>
      <c r="AD60" s="6">
        <f>$O$60*$X$60</f>
        <v>1825.19813</v>
      </c>
      <c r="AE60" s="6">
        <f>$K$60*$Y$60</f>
        <v>0</v>
      </c>
      <c r="AF60" s="6">
        <f ca="1">$M$60*$Z$60</f>
        <v>2590.6236735652546</v>
      </c>
      <c r="AG60" s="6">
        <f>$O$60*$AA$60</f>
        <v>1413.2848176407017</v>
      </c>
    </row>
    <row r="61" spans="1:33" ht="11.25" customHeight="1" x14ac:dyDescent="0.25">
      <c r="A61" s="4" t="s">
        <v>21</v>
      </c>
      <c r="B61" s="4" t="s">
        <v>22</v>
      </c>
      <c r="C61" s="4" t="s">
        <v>23</v>
      </c>
      <c r="D61" s="4" t="s">
        <v>24</v>
      </c>
      <c r="E61" s="4" t="s">
        <v>40</v>
      </c>
      <c r="F61" s="4" t="s">
        <v>25</v>
      </c>
      <c r="G61" s="4" t="s">
        <v>25</v>
      </c>
      <c r="H61" s="4" t="s">
        <v>25</v>
      </c>
      <c r="I61" s="5">
        <v>44682</v>
      </c>
      <c r="J61" s="6">
        <v>0</v>
      </c>
      <c r="K61" s="6">
        <v>0</v>
      </c>
      <c r="L61" s="6">
        <v>6.5419999999999998</v>
      </c>
      <c r="M61" s="6">
        <v>6.5419999999999998</v>
      </c>
      <c r="N61" s="6">
        <v>6.5419999999999998</v>
      </c>
      <c r="O61" s="6">
        <v>6.5419999999999998</v>
      </c>
      <c r="P61" s="6">
        <v>22</v>
      </c>
      <c r="Q61" s="4" t="s">
        <v>26</v>
      </c>
      <c r="R61" s="4">
        <v>0</v>
      </c>
      <c r="S61" s="6">
        <v>0</v>
      </c>
      <c r="T61" s="6">
        <v>37</v>
      </c>
      <c r="U61" s="6">
        <v>62</v>
      </c>
      <c r="V61" s="6">
        <f>IF(ISERROR(VLOOKUP($S$61,'TAR FIN'!$A$1:$O$73,15,0)),0,VLOOKUP($S$61,'TAR FIN'!$A$1:$O$73,15,0))</f>
        <v>0</v>
      </c>
      <c r="W61" s="6">
        <f>IF(ISERROR(VLOOKUP($T$61,'TAR FIN'!$A$1:$O$73,15,0)),0,VLOOKUP($T$61,'TAR FIN'!$A$1:$O$73,15,0))</f>
        <v>294.36</v>
      </c>
      <c r="X61" s="6">
        <f>IF(ISERROR(VLOOKUP($U$61,'TAR FIN'!$A$1:$O$73,15,0)),0,VLOOKUP($U$61,'TAR FIN'!$A$1:$O$73,15,0))</f>
        <v>248.09</v>
      </c>
      <c r="Y61" s="6"/>
      <c r="Z61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61" s="6">
        <f>('TE BE'!$AB$14+'TE BF'!$AB$14+'TE CVA'!$AB$14)*(1-CUSTOS!$M$37)</f>
        <v>192.10069561515587</v>
      </c>
      <c r="AB61" s="6">
        <f>$K$61*$V$61</f>
        <v>0</v>
      </c>
      <c r="AC61" s="6">
        <f>$M$61*$W$61</f>
        <v>1925.7031200000001</v>
      </c>
      <c r="AD61" s="6">
        <f>$O$61*$X$61</f>
        <v>1623.00478</v>
      </c>
      <c r="AE61" s="6">
        <f>$K$61*$Y$61</f>
        <v>0</v>
      </c>
      <c r="AF61" s="6">
        <f ca="1">$M$61*$Z$61</f>
        <v>2303.6373620312484</v>
      </c>
      <c r="AG61" s="6">
        <f>$O$61*$AA$61</f>
        <v>1256.7227507143498</v>
      </c>
    </row>
    <row r="62" spans="1:33" ht="11.25" customHeight="1" x14ac:dyDescent="0.25">
      <c r="A62" s="4" t="s">
        <v>21</v>
      </c>
      <c r="B62" s="4" t="s">
        <v>22</v>
      </c>
      <c r="C62" s="4" t="s">
        <v>23</v>
      </c>
      <c r="D62" s="4" t="s">
        <v>24</v>
      </c>
      <c r="E62" s="4" t="s">
        <v>40</v>
      </c>
      <c r="F62" s="4" t="s">
        <v>25</v>
      </c>
      <c r="G62" s="4" t="s">
        <v>25</v>
      </c>
      <c r="H62" s="4" t="s">
        <v>25</v>
      </c>
      <c r="I62" s="5">
        <v>44713</v>
      </c>
      <c r="J62" s="6">
        <v>0</v>
      </c>
      <c r="K62" s="6">
        <v>0</v>
      </c>
      <c r="L62" s="6">
        <v>10.398</v>
      </c>
      <c r="M62" s="6">
        <v>10.398</v>
      </c>
      <c r="N62" s="6">
        <v>10.398</v>
      </c>
      <c r="O62" s="6">
        <v>10.398</v>
      </c>
      <c r="P62" s="6">
        <v>33</v>
      </c>
      <c r="Q62" s="4" t="s">
        <v>26</v>
      </c>
      <c r="R62" s="4">
        <v>0</v>
      </c>
      <c r="S62" s="6">
        <v>0</v>
      </c>
      <c r="T62" s="6">
        <v>37</v>
      </c>
      <c r="U62" s="6">
        <v>62</v>
      </c>
      <c r="V62" s="6">
        <f>IF(ISERROR(VLOOKUP($S$62,'TAR FIN'!$A$1:$O$73,15,0)),0,VLOOKUP($S$62,'TAR FIN'!$A$1:$O$73,15,0))</f>
        <v>0</v>
      </c>
      <c r="W62" s="6">
        <f>IF(ISERROR(VLOOKUP($T$62,'TAR FIN'!$A$1:$O$73,15,0)),0,VLOOKUP($T$62,'TAR FIN'!$A$1:$O$73,15,0))</f>
        <v>294.36</v>
      </c>
      <c r="X62" s="6">
        <f>IF(ISERROR(VLOOKUP($U$62,'TAR FIN'!$A$1:$O$73,15,0)),0,VLOOKUP($U$62,'TAR FIN'!$A$1:$O$73,15,0))</f>
        <v>248.09</v>
      </c>
      <c r="Y62" s="6"/>
      <c r="Z62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62" s="6">
        <f>('TE BE'!$AB$14+'TE BF'!$AB$14+'TE CVA'!$AB$14)*(1-CUSTOS!$M$37)</f>
        <v>192.10069561515587</v>
      </c>
      <c r="AB62" s="6">
        <f>$K$62*$V$62</f>
        <v>0</v>
      </c>
      <c r="AC62" s="6">
        <f>$M$62*$W$62</f>
        <v>3060.7552799999999</v>
      </c>
      <c r="AD62" s="6">
        <f>$O$62*$X$62</f>
        <v>2579.6398199999999</v>
      </c>
      <c r="AE62" s="6">
        <f>$K$62*$Y$62</f>
        <v>0</v>
      </c>
      <c r="AF62" s="6">
        <f ca="1">$M$62*$Z$62</f>
        <v>3661.4523525528771</v>
      </c>
      <c r="AG62" s="6">
        <f>$O$62*$AA$62</f>
        <v>1997.4630330063908</v>
      </c>
    </row>
    <row r="63" spans="1:33" ht="11.25" customHeight="1" x14ac:dyDescent="0.25">
      <c r="A63" s="4" t="s">
        <v>21</v>
      </c>
      <c r="B63" s="4" t="s">
        <v>22</v>
      </c>
      <c r="C63" s="4" t="s">
        <v>23</v>
      </c>
      <c r="D63" s="4" t="s">
        <v>24</v>
      </c>
      <c r="E63" s="4" t="s">
        <v>40</v>
      </c>
      <c r="F63" s="4" t="s">
        <v>25</v>
      </c>
      <c r="G63" s="4" t="s">
        <v>25</v>
      </c>
      <c r="H63" s="4" t="s">
        <v>25</v>
      </c>
      <c r="I63" s="5">
        <v>44743</v>
      </c>
      <c r="J63" s="6">
        <v>0</v>
      </c>
      <c r="K63" s="6">
        <v>0</v>
      </c>
      <c r="L63" s="6">
        <v>12.074999999999999</v>
      </c>
      <c r="M63" s="6">
        <v>12.074999999999999</v>
      </c>
      <c r="N63" s="6">
        <v>12.074999999999999</v>
      </c>
      <c r="O63" s="6">
        <v>12.074999999999999</v>
      </c>
      <c r="P63" s="6">
        <v>35</v>
      </c>
      <c r="Q63" s="4" t="s">
        <v>26</v>
      </c>
      <c r="R63" s="4">
        <v>0</v>
      </c>
      <c r="S63" s="6">
        <v>0</v>
      </c>
      <c r="T63" s="6">
        <v>37</v>
      </c>
      <c r="U63" s="6">
        <v>62</v>
      </c>
      <c r="V63" s="6">
        <f>IF(ISERROR(VLOOKUP($S$63,'TAR FIN'!$A$1:$O$73,15,0)),0,VLOOKUP($S$63,'TAR FIN'!$A$1:$O$73,15,0))</f>
        <v>0</v>
      </c>
      <c r="W63" s="6">
        <f>IF(ISERROR(VLOOKUP($T$63,'TAR FIN'!$A$1:$O$73,15,0)),0,VLOOKUP($T$63,'TAR FIN'!$A$1:$O$73,15,0))</f>
        <v>294.36</v>
      </c>
      <c r="X63" s="6">
        <f>IF(ISERROR(VLOOKUP($U$63,'TAR FIN'!$A$1:$O$73,15,0)),0,VLOOKUP($U$63,'TAR FIN'!$A$1:$O$73,15,0))</f>
        <v>248.09</v>
      </c>
      <c r="Y63" s="6"/>
      <c r="Z63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63" s="6">
        <f>('TE BE'!$AB$14+'TE BF'!$AB$14+'TE CVA'!$AB$14)*(1-CUSTOS!$M$37)</f>
        <v>192.10069561515587</v>
      </c>
      <c r="AB63" s="6">
        <f>$K$63*$V$63</f>
        <v>0</v>
      </c>
      <c r="AC63" s="6">
        <f>$M$63*$W$63</f>
        <v>3554.3969999999999</v>
      </c>
      <c r="AD63" s="6">
        <f>$O$63*$X$63</f>
        <v>2995.6867499999998</v>
      </c>
      <c r="AE63" s="6">
        <f>$K$63*$Y$63</f>
        <v>0</v>
      </c>
      <c r="AF63" s="6">
        <f ca="1">$M$63*$Z$63</f>
        <v>4251.9751064700895</v>
      </c>
      <c r="AG63" s="6">
        <f>$O$63*$AA$63</f>
        <v>2319.6158995530068</v>
      </c>
    </row>
    <row r="64" spans="1:33" ht="11.25" customHeight="1" x14ac:dyDescent="0.25">
      <c r="A64" s="4" t="s">
        <v>21</v>
      </c>
      <c r="B64" s="4" t="s">
        <v>22</v>
      </c>
      <c r="C64" s="4" t="s">
        <v>23</v>
      </c>
      <c r="D64" s="4" t="s">
        <v>24</v>
      </c>
      <c r="E64" s="4" t="s">
        <v>40</v>
      </c>
      <c r="F64" s="4" t="s">
        <v>25</v>
      </c>
      <c r="G64" s="4" t="s">
        <v>25</v>
      </c>
      <c r="H64" s="4" t="s">
        <v>25</v>
      </c>
      <c r="I64" s="5">
        <v>44774</v>
      </c>
      <c r="J64" s="6">
        <v>0</v>
      </c>
      <c r="K64" s="6">
        <v>0</v>
      </c>
      <c r="L64" s="6">
        <v>12.263</v>
      </c>
      <c r="M64" s="6">
        <v>12.263</v>
      </c>
      <c r="N64" s="6">
        <v>12.263</v>
      </c>
      <c r="O64" s="6">
        <v>12.263</v>
      </c>
      <c r="P64" s="6">
        <v>41</v>
      </c>
      <c r="Q64" s="4" t="s">
        <v>26</v>
      </c>
      <c r="R64" s="4">
        <v>0</v>
      </c>
      <c r="S64" s="6">
        <v>0</v>
      </c>
      <c r="T64" s="6">
        <v>37</v>
      </c>
      <c r="U64" s="6">
        <v>62</v>
      </c>
      <c r="V64" s="6">
        <f>IF(ISERROR(VLOOKUP($S$64,'TAR FIN'!$A$1:$O$73,15,0)),0,VLOOKUP($S$64,'TAR FIN'!$A$1:$O$73,15,0))</f>
        <v>0</v>
      </c>
      <c r="W64" s="6">
        <f>IF(ISERROR(VLOOKUP($T$64,'TAR FIN'!$A$1:$O$73,15,0)),0,VLOOKUP($T$64,'TAR FIN'!$A$1:$O$73,15,0))</f>
        <v>294.36</v>
      </c>
      <c r="X64" s="6">
        <f>IF(ISERROR(VLOOKUP($U$64,'TAR FIN'!$A$1:$O$73,15,0)),0,VLOOKUP($U$64,'TAR FIN'!$A$1:$O$73,15,0))</f>
        <v>248.09</v>
      </c>
      <c r="Y64" s="6"/>
      <c r="Z64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64" s="6">
        <f>('TE BE'!$AB$14+'TE BF'!$AB$14+'TE CVA'!$AB$14)*(1-CUSTOS!$M$37)</f>
        <v>192.10069561515587</v>
      </c>
      <c r="AB64" s="6">
        <f>$K$64*$V$64</f>
        <v>0</v>
      </c>
      <c r="AC64" s="6">
        <f>$M$64*$W$64</f>
        <v>3609.73668</v>
      </c>
      <c r="AD64" s="6">
        <f>$O$64*$X$64</f>
        <v>3042.3276700000001</v>
      </c>
      <c r="AE64" s="6">
        <f>$K$64*$Y$64</f>
        <v>0</v>
      </c>
      <c r="AF64" s="6">
        <f ca="1">$M$64*$Z$64</f>
        <v>4318.1756298668906</v>
      </c>
      <c r="AG64" s="6">
        <f>$O$64*$AA$64</f>
        <v>2355.7308303286563</v>
      </c>
    </row>
    <row r="65" spans="1:33" ht="11.25" customHeight="1" x14ac:dyDescent="0.25">
      <c r="A65" s="4" t="s">
        <v>21</v>
      </c>
      <c r="B65" s="4" t="s">
        <v>22</v>
      </c>
      <c r="C65" s="4" t="s">
        <v>23</v>
      </c>
      <c r="D65" s="4" t="s">
        <v>24</v>
      </c>
      <c r="E65" s="4" t="s">
        <v>40</v>
      </c>
      <c r="F65" s="4" t="s">
        <v>25</v>
      </c>
      <c r="G65" s="4" t="s">
        <v>25</v>
      </c>
      <c r="H65" s="4" t="s">
        <v>25</v>
      </c>
      <c r="I65" s="5">
        <v>44805</v>
      </c>
      <c r="J65" s="6">
        <v>0</v>
      </c>
      <c r="K65" s="6">
        <v>0</v>
      </c>
      <c r="L65" s="6">
        <v>10.863</v>
      </c>
      <c r="M65" s="6">
        <v>10.863</v>
      </c>
      <c r="N65" s="6">
        <v>10.863</v>
      </c>
      <c r="O65" s="6">
        <v>10.863</v>
      </c>
      <c r="P65" s="6">
        <v>35</v>
      </c>
      <c r="Q65" s="4" t="s">
        <v>26</v>
      </c>
      <c r="R65" s="4">
        <v>0</v>
      </c>
      <c r="S65" s="6">
        <v>0</v>
      </c>
      <c r="T65" s="6">
        <v>37</v>
      </c>
      <c r="U65" s="6">
        <v>62</v>
      </c>
      <c r="V65" s="6">
        <f>IF(ISERROR(VLOOKUP($S$65,'TAR FIN'!$A$1:$O$73,15,0)),0,VLOOKUP($S$65,'TAR FIN'!$A$1:$O$73,15,0))</f>
        <v>0</v>
      </c>
      <c r="W65" s="6">
        <f>IF(ISERROR(VLOOKUP($T$65,'TAR FIN'!$A$1:$O$73,15,0)),0,VLOOKUP($T$65,'TAR FIN'!$A$1:$O$73,15,0))</f>
        <v>294.36</v>
      </c>
      <c r="X65" s="6">
        <f>IF(ISERROR(VLOOKUP($U$65,'TAR FIN'!$A$1:$O$73,15,0)),0,VLOOKUP($U$65,'TAR FIN'!$A$1:$O$73,15,0))</f>
        <v>248.09</v>
      </c>
      <c r="Y65" s="6"/>
      <c r="Z65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65" s="6">
        <f>('TE BE'!$AB$14+'TE BF'!$AB$14+'TE CVA'!$AB$14)*(1-CUSTOS!$M$37)</f>
        <v>192.10069561515587</v>
      </c>
      <c r="AB65" s="6">
        <f>$K$65*$V$65</f>
        <v>0</v>
      </c>
      <c r="AC65" s="6">
        <f>$M$65*$W$65</f>
        <v>3197.6326800000002</v>
      </c>
      <c r="AD65" s="6">
        <f>$O$65*$X$65</f>
        <v>2695.0016700000001</v>
      </c>
      <c r="AE65" s="6">
        <f>$K$65*$Y$65</f>
        <v>0</v>
      </c>
      <c r="AF65" s="6">
        <f ca="1">$M$65*$Z$65</f>
        <v>3825.1930088268805</v>
      </c>
      <c r="AG65" s="6">
        <f>$O$65*$AA$65</f>
        <v>2086.7898564674383</v>
      </c>
    </row>
    <row r="66" spans="1:33" ht="11.25" customHeight="1" x14ac:dyDescent="0.25">
      <c r="A66" s="4" t="s">
        <v>21</v>
      </c>
      <c r="B66" s="4" t="s">
        <v>22</v>
      </c>
      <c r="C66" s="4" t="s">
        <v>23</v>
      </c>
      <c r="D66" s="4" t="s">
        <v>24</v>
      </c>
      <c r="E66" s="4" t="s">
        <v>40</v>
      </c>
      <c r="F66" s="4" t="s">
        <v>25</v>
      </c>
      <c r="G66" s="4" t="s">
        <v>25</v>
      </c>
      <c r="H66" s="4" t="s">
        <v>25</v>
      </c>
      <c r="I66" s="5">
        <v>44835</v>
      </c>
      <c r="J66" s="6">
        <v>0</v>
      </c>
      <c r="K66" s="6">
        <v>0</v>
      </c>
      <c r="L66" s="6">
        <v>13.429</v>
      </c>
      <c r="M66" s="6">
        <v>13.429</v>
      </c>
      <c r="N66" s="6">
        <v>13.429</v>
      </c>
      <c r="O66" s="6">
        <v>13.429</v>
      </c>
      <c r="P66" s="6">
        <v>46</v>
      </c>
      <c r="Q66" s="4" t="s">
        <v>26</v>
      </c>
      <c r="R66" s="4">
        <v>0</v>
      </c>
      <c r="S66" s="6">
        <v>0</v>
      </c>
      <c r="T66" s="6">
        <v>37</v>
      </c>
      <c r="U66" s="6">
        <v>62</v>
      </c>
      <c r="V66" s="6">
        <f>IF(ISERROR(VLOOKUP($S$66,'TAR FIN'!$A$1:$O$73,15,0)),0,VLOOKUP($S$66,'TAR FIN'!$A$1:$O$73,15,0))</f>
        <v>0</v>
      </c>
      <c r="W66" s="6">
        <f>IF(ISERROR(VLOOKUP($T$66,'TAR FIN'!$A$1:$O$73,15,0)),0,VLOOKUP($T$66,'TAR FIN'!$A$1:$O$73,15,0))</f>
        <v>294.36</v>
      </c>
      <c r="X66" s="6">
        <f>IF(ISERROR(VLOOKUP($U$66,'TAR FIN'!$A$1:$O$73,15,0)),0,VLOOKUP($U$66,'TAR FIN'!$A$1:$O$73,15,0))</f>
        <v>248.09</v>
      </c>
      <c r="Y66" s="6"/>
      <c r="Z66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66" s="6">
        <f>('TE BE'!$AB$14+'TE BF'!$AB$14+'TE CVA'!$AB$14)*(1-CUSTOS!$M$37)</f>
        <v>192.10069561515587</v>
      </c>
      <c r="AB66" s="6">
        <f>$K$66*$V$66</f>
        <v>0</v>
      </c>
      <c r="AC66" s="6">
        <f>$M$66*$W$66</f>
        <v>3952.9604400000003</v>
      </c>
      <c r="AD66" s="6">
        <f>$O$66*$X$66</f>
        <v>3331.60061</v>
      </c>
      <c r="AE66" s="6">
        <f>$K$66*$Y$66</f>
        <v>0</v>
      </c>
      <c r="AF66" s="6">
        <f ca="1">$M$66*$Z$66</f>
        <v>4728.7597271044997</v>
      </c>
      <c r="AG66" s="6">
        <f>$O$66*$AA$66</f>
        <v>2579.7202414159283</v>
      </c>
    </row>
    <row r="67" spans="1:33" ht="11.25" customHeight="1" x14ac:dyDescent="0.25">
      <c r="A67" s="4" t="s">
        <v>21</v>
      </c>
      <c r="B67" s="4" t="s">
        <v>31</v>
      </c>
      <c r="C67" s="4" t="s">
        <v>23</v>
      </c>
      <c r="D67" s="4" t="s">
        <v>32</v>
      </c>
      <c r="E67" s="4" t="s">
        <v>25</v>
      </c>
      <c r="F67" s="4" t="s">
        <v>25</v>
      </c>
      <c r="G67" s="4" t="s">
        <v>25</v>
      </c>
      <c r="H67" s="4" t="s">
        <v>25</v>
      </c>
      <c r="I67" s="5">
        <v>44501</v>
      </c>
      <c r="J67" s="6">
        <v>0</v>
      </c>
      <c r="K67" s="6">
        <v>0</v>
      </c>
      <c r="L67" s="6">
        <v>469.49200000000002</v>
      </c>
      <c r="M67" s="6">
        <v>469.49200000000002</v>
      </c>
      <c r="N67" s="6">
        <v>469.49200000000002</v>
      </c>
      <c r="O67" s="6">
        <v>469.49200000000002</v>
      </c>
      <c r="P67" s="6">
        <v>1509</v>
      </c>
      <c r="Q67" s="4" t="s">
        <v>26</v>
      </c>
      <c r="R67" s="4">
        <v>0</v>
      </c>
      <c r="S67" s="6">
        <v>0</v>
      </c>
      <c r="T67" s="6">
        <v>41</v>
      </c>
      <c r="U67" s="6">
        <v>39</v>
      </c>
      <c r="V67" s="6">
        <f>IF(ISERROR(VLOOKUP($S$67,'TAR FIN'!$A$1:$O$73,15,0)),0,VLOOKUP($S$67,'TAR FIN'!$A$1:$O$73,15,0))</f>
        <v>0</v>
      </c>
      <c r="W67" s="6">
        <f>IF(ISERROR(VLOOKUP($T$67,'TAR FIN'!$A$1:$O$73,15,0)),0,VLOOKUP($T$67,'TAR FIN'!$A$1:$O$73,15,0))</f>
        <v>338.67</v>
      </c>
      <c r="X67" s="6">
        <f>IF(ISERROR(VLOOKUP($U$67,'TAR FIN'!$A$1:$O$73,15,0)),0,VLOOKUP($U$67,'TAR FIN'!$A$1:$O$73,15,0))</f>
        <v>218.32</v>
      </c>
      <c r="Y67" s="6"/>
      <c r="Z67" s="6">
        <f ca="1">('TUSD BE'!$AM$33+'TUSD BF'!$AM$33+'TUSD CVA'!$AM$33)*(1-CUSTOS!$M$38)</f>
        <v>456.92614339322381</v>
      </c>
      <c r="AA67" s="6">
        <f>('TE BE'!$AB$23+'TE BF'!$AB$23+'TE CVA'!$AB$23)*(1-CUSTOS!$M$38)</f>
        <v>180.57465387824652</v>
      </c>
      <c r="AB67" s="6">
        <f>$K$67*$V$67</f>
        <v>0</v>
      </c>
      <c r="AC67" s="6">
        <f>$M$67*$W$67</f>
        <v>159002.85564000002</v>
      </c>
      <c r="AD67" s="6">
        <f>$O$67*$X$67</f>
        <v>102499.49344000001</v>
      </c>
      <c r="AE67" s="6">
        <f>$K$67*$Y$67</f>
        <v>0</v>
      </c>
      <c r="AF67" s="6">
        <f ca="1">$M$67*$Z$67</f>
        <v>214523.16891397143</v>
      </c>
      <c r="AG67" s="6">
        <f>$O$67*$AA$67</f>
        <v>84778.355398605723</v>
      </c>
    </row>
    <row r="68" spans="1:33" ht="11.25" customHeight="1" x14ac:dyDescent="0.25">
      <c r="A68" s="4" t="s">
        <v>27</v>
      </c>
      <c r="B68" s="4" t="s">
        <v>31</v>
      </c>
      <c r="C68" s="4" t="s">
        <v>23</v>
      </c>
      <c r="D68" s="4" t="s">
        <v>32</v>
      </c>
      <c r="E68" s="4" t="s">
        <v>25</v>
      </c>
      <c r="F68" s="4" t="s">
        <v>25</v>
      </c>
      <c r="G68" s="4" t="s">
        <v>25</v>
      </c>
      <c r="H68" s="4" t="s">
        <v>25</v>
      </c>
      <c r="I68" s="5">
        <v>44501</v>
      </c>
      <c r="J68" s="6">
        <v>0</v>
      </c>
      <c r="K68" s="6">
        <v>0</v>
      </c>
      <c r="L68" s="6">
        <v>37.396999999999998</v>
      </c>
      <c r="M68" s="6">
        <v>37.396999999999998</v>
      </c>
      <c r="N68" s="6">
        <v>37.396999999999998</v>
      </c>
      <c r="O68" s="6">
        <v>37.396999999999998</v>
      </c>
      <c r="P68" s="6">
        <v>37</v>
      </c>
      <c r="Q68" s="4" t="s">
        <v>26</v>
      </c>
      <c r="R68" s="4">
        <v>0</v>
      </c>
      <c r="S68" s="6">
        <v>0</v>
      </c>
      <c r="T68" s="6">
        <v>41</v>
      </c>
      <c r="U68" s="6">
        <v>39</v>
      </c>
      <c r="V68" s="6">
        <f>IF(ISERROR(VLOOKUP($S$68,'TAR FIN'!$A$1:$O$73,15,0)),0,VLOOKUP($S$68,'TAR FIN'!$A$1:$O$73,15,0))</f>
        <v>0</v>
      </c>
      <c r="W68" s="6">
        <f>IF(ISERROR(VLOOKUP($T$68,'TAR FIN'!$A$1:$O$73,15,0)),0,VLOOKUP($T$68,'TAR FIN'!$A$1:$O$73,15,0))</f>
        <v>338.67</v>
      </c>
      <c r="X68" s="6">
        <f>IF(ISERROR(VLOOKUP($U$68,'TAR FIN'!$A$1:$O$73,15,0)),0,VLOOKUP($U$68,'TAR FIN'!$A$1:$O$73,15,0))</f>
        <v>218.32</v>
      </c>
      <c r="Y68" s="6"/>
      <c r="Z68" s="6">
        <f ca="1">('TUSD BE'!$AM$33+'TUSD BF'!$AM$33+'TUSD CVA'!$AM$33)*(1-CUSTOS!$M$38)</f>
        <v>456.92614339322381</v>
      </c>
      <c r="AA68" s="6">
        <f>('TE BE'!$AB$23+'TE BF'!$AB$23+'TE CVA'!$AB$23)*(1-CUSTOS!$M$38)</f>
        <v>180.57465387824652</v>
      </c>
      <c r="AB68" s="6">
        <f>$K$68*$V$68</f>
        <v>0</v>
      </c>
      <c r="AC68" s="6">
        <f>$M$68*$W$68</f>
        <v>12665.24199</v>
      </c>
      <c r="AD68" s="6">
        <f>$O$68*$X$68</f>
        <v>8164.5130399999998</v>
      </c>
      <c r="AE68" s="6">
        <f>$K$68*$Y$68</f>
        <v>0</v>
      </c>
      <c r="AF68" s="6">
        <f ca="1">$M$68*$Z$68</f>
        <v>17087.666984476389</v>
      </c>
      <c r="AG68" s="6">
        <f>$O$68*$AA$68</f>
        <v>6752.9503310847849</v>
      </c>
    </row>
    <row r="69" spans="1:33" ht="11.25" customHeight="1" x14ac:dyDescent="0.25">
      <c r="A69" s="4" t="s">
        <v>21</v>
      </c>
      <c r="B69" s="4" t="s">
        <v>31</v>
      </c>
      <c r="C69" s="4" t="s">
        <v>23</v>
      </c>
      <c r="D69" s="4" t="s">
        <v>32</v>
      </c>
      <c r="E69" s="4" t="s">
        <v>25</v>
      </c>
      <c r="F69" s="4" t="s">
        <v>25</v>
      </c>
      <c r="G69" s="4" t="s">
        <v>25</v>
      </c>
      <c r="H69" s="4" t="s">
        <v>25</v>
      </c>
      <c r="I69" s="5">
        <v>44531</v>
      </c>
      <c r="J69" s="6">
        <v>0</v>
      </c>
      <c r="K69" s="6">
        <v>0</v>
      </c>
      <c r="L69" s="6">
        <v>452.55099999999999</v>
      </c>
      <c r="M69" s="6">
        <v>452.55099999999999</v>
      </c>
      <c r="N69" s="6">
        <v>452.55099999999999</v>
      </c>
      <c r="O69" s="6">
        <v>452.55099999999999</v>
      </c>
      <c r="P69" s="6">
        <v>1500</v>
      </c>
      <c r="Q69" s="4" t="s">
        <v>26</v>
      </c>
      <c r="R69" s="4">
        <v>0</v>
      </c>
      <c r="S69" s="6">
        <v>0</v>
      </c>
      <c r="T69" s="6">
        <v>41</v>
      </c>
      <c r="U69" s="6">
        <v>39</v>
      </c>
      <c r="V69" s="6">
        <f>IF(ISERROR(VLOOKUP($S$69,'TAR FIN'!$A$1:$O$73,15,0)),0,VLOOKUP($S$69,'TAR FIN'!$A$1:$O$73,15,0))</f>
        <v>0</v>
      </c>
      <c r="W69" s="6">
        <f>IF(ISERROR(VLOOKUP($T$69,'TAR FIN'!$A$1:$O$73,15,0)),0,VLOOKUP($T$69,'TAR FIN'!$A$1:$O$73,15,0))</f>
        <v>338.67</v>
      </c>
      <c r="X69" s="6">
        <f>IF(ISERROR(VLOOKUP($U$69,'TAR FIN'!$A$1:$O$73,15,0)),0,VLOOKUP($U$69,'TAR FIN'!$A$1:$O$73,15,0))</f>
        <v>218.32</v>
      </c>
      <c r="Y69" s="6"/>
      <c r="Z69" s="6">
        <f ca="1">('TUSD BE'!$AM$33+'TUSD BF'!$AM$33+'TUSD CVA'!$AM$33)*(1-CUSTOS!$M$38)</f>
        <v>456.92614339322381</v>
      </c>
      <c r="AA69" s="6">
        <f>('TE BE'!$AB$23+'TE BF'!$AB$23+'TE CVA'!$AB$23)*(1-CUSTOS!$M$38)</f>
        <v>180.57465387824652</v>
      </c>
      <c r="AB69" s="6">
        <f>$K$69*$V$69</f>
        <v>0</v>
      </c>
      <c r="AC69" s="6">
        <f>$M$69*$W$69</f>
        <v>153265.44717</v>
      </c>
      <c r="AD69" s="6">
        <f>$O$69*$X$69</f>
        <v>98800.93432</v>
      </c>
      <c r="AE69" s="6">
        <f>$K$69*$Y$69</f>
        <v>0</v>
      </c>
      <c r="AF69" s="6">
        <f ca="1">$M$69*$Z$69</f>
        <v>206782.38311874683</v>
      </c>
      <c r="AG69" s="6">
        <f>$O$69*$AA$69</f>
        <v>81719.240187254341</v>
      </c>
    </row>
    <row r="70" spans="1:33" ht="11.25" customHeight="1" x14ac:dyDescent="0.25">
      <c r="A70" s="4" t="s">
        <v>27</v>
      </c>
      <c r="B70" s="4" t="s">
        <v>31</v>
      </c>
      <c r="C70" s="4" t="s">
        <v>23</v>
      </c>
      <c r="D70" s="4" t="s">
        <v>32</v>
      </c>
      <c r="E70" s="4" t="s">
        <v>25</v>
      </c>
      <c r="F70" s="4" t="s">
        <v>25</v>
      </c>
      <c r="G70" s="4" t="s">
        <v>25</v>
      </c>
      <c r="H70" s="4" t="s">
        <v>25</v>
      </c>
      <c r="I70" s="5">
        <v>44531</v>
      </c>
      <c r="J70" s="6">
        <v>0</v>
      </c>
      <c r="K70" s="6">
        <v>0</v>
      </c>
      <c r="L70" s="6">
        <v>38.174999999999997</v>
      </c>
      <c r="M70" s="6">
        <v>38.174999999999997</v>
      </c>
      <c r="N70" s="6">
        <v>38.174999999999997</v>
      </c>
      <c r="O70" s="6">
        <v>38.174999999999997</v>
      </c>
      <c r="P70" s="6">
        <v>41</v>
      </c>
      <c r="Q70" s="4" t="s">
        <v>26</v>
      </c>
      <c r="R70" s="4">
        <v>0</v>
      </c>
      <c r="S70" s="6">
        <v>0</v>
      </c>
      <c r="T70" s="6">
        <v>41</v>
      </c>
      <c r="U70" s="6">
        <v>39</v>
      </c>
      <c r="V70" s="6">
        <f>IF(ISERROR(VLOOKUP($S$70,'TAR FIN'!$A$1:$O$73,15,0)),0,VLOOKUP($S$70,'TAR FIN'!$A$1:$O$73,15,0))</f>
        <v>0</v>
      </c>
      <c r="W70" s="6">
        <f>IF(ISERROR(VLOOKUP($T$70,'TAR FIN'!$A$1:$O$73,15,0)),0,VLOOKUP($T$70,'TAR FIN'!$A$1:$O$73,15,0))</f>
        <v>338.67</v>
      </c>
      <c r="X70" s="6">
        <f>IF(ISERROR(VLOOKUP($U$70,'TAR FIN'!$A$1:$O$73,15,0)),0,VLOOKUP($U$70,'TAR FIN'!$A$1:$O$73,15,0))</f>
        <v>218.32</v>
      </c>
      <c r="Y70" s="6"/>
      <c r="Z70" s="6">
        <f ca="1">('TUSD BE'!$AM$33+'TUSD BF'!$AM$33+'TUSD CVA'!$AM$33)*(1-CUSTOS!$M$38)</f>
        <v>456.92614339322381</v>
      </c>
      <c r="AA70" s="6">
        <f>('TE BE'!$AB$23+'TE BF'!$AB$23+'TE CVA'!$AB$23)*(1-CUSTOS!$M$38)</f>
        <v>180.57465387824652</v>
      </c>
      <c r="AB70" s="6">
        <f>$K$70*$V$70</f>
        <v>0</v>
      </c>
      <c r="AC70" s="6">
        <f>$M$70*$W$70</f>
        <v>12928.72725</v>
      </c>
      <c r="AD70" s="6">
        <f>$O$70*$X$70</f>
        <v>8334.366</v>
      </c>
      <c r="AE70" s="6">
        <f>$K$70*$Y$70</f>
        <v>0</v>
      </c>
      <c r="AF70" s="6">
        <f ca="1">$M$70*$Z$70</f>
        <v>17443.155524036316</v>
      </c>
      <c r="AG70" s="6">
        <f>$O$70*$AA$70</f>
        <v>6893.4374118020605</v>
      </c>
    </row>
    <row r="71" spans="1:33" ht="11.25" customHeight="1" x14ac:dyDescent="0.25">
      <c r="A71" s="4" t="s">
        <v>21</v>
      </c>
      <c r="B71" s="4" t="s">
        <v>31</v>
      </c>
      <c r="C71" s="4" t="s">
        <v>23</v>
      </c>
      <c r="D71" s="4" t="s">
        <v>32</v>
      </c>
      <c r="E71" s="4" t="s">
        <v>25</v>
      </c>
      <c r="F71" s="4" t="s">
        <v>25</v>
      </c>
      <c r="G71" s="4" t="s">
        <v>25</v>
      </c>
      <c r="H71" s="4" t="s">
        <v>25</v>
      </c>
      <c r="I71" s="5">
        <v>44562</v>
      </c>
      <c r="J71" s="6">
        <v>0</v>
      </c>
      <c r="K71" s="6">
        <v>0</v>
      </c>
      <c r="L71" s="6">
        <v>526.09400000000005</v>
      </c>
      <c r="M71" s="6">
        <v>526.09400000000005</v>
      </c>
      <c r="N71" s="6">
        <v>526.09400000000005</v>
      </c>
      <c r="O71" s="6">
        <v>526.09400000000005</v>
      </c>
      <c r="P71" s="6">
        <v>1497</v>
      </c>
      <c r="Q71" s="4" t="s">
        <v>26</v>
      </c>
      <c r="R71" s="4">
        <v>0</v>
      </c>
      <c r="S71" s="6">
        <v>0</v>
      </c>
      <c r="T71" s="6">
        <v>41</v>
      </c>
      <c r="U71" s="6">
        <v>39</v>
      </c>
      <c r="V71" s="6">
        <f>IF(ISERROR(VLOOKUP($S$71,'TAR FIN'!$A$1:$O$73,15,0)),0,VLOOKUP($S$71,'TAR FIN'!$A$1:$O$73,15,0))</f>
        <v>0</v>
      </c>
      <c r="W71" s="6">
        <f>IF(ISERROR(VLOOKUP($T$71,'TAR FIN'!$A$1:$O$73,15,0)),0,VLOOKUP($T$71,'TAR FIN'!$A$1:$O$73,15,0))</f>
        <v>338.67</v>
      </c>
      <c r="X71" s="6">
        <f>IF(ISERROR(VLOOKUP($U$71,'TAR FIN'!$A$1:$O$73,15,0)),0,VLOOKUP($U$71,'TAR FIN'!$A$1:$O$73,15,0))</f>
        <v>218.32</v>
      </c>
      <c r="Y71" s="6"/>
      <c r="Z71" s="6">
        <f ca="1">('TUSD BE'!$AM$33+'TUSD BF'!$AM$33+'TUSD CVA'!$AM$33)*(1-CUSTOS!$M$38)</f>
        <v>456.92614339322381</v>
      </c>
      <c r="AA71" s="6">
        <f>('TE BE'!$AB$23+'TE BF'!$AB$23+'TE CVA'!$AB$23)*(1-CUSTOS!$M$38)</f>
        <v>180.57465387824652</v>
      </c>
      <c r="AB71" s="6">
        <f>$K$71*$V$71</f>
        <v>0</v>
      </c>
      <c r="AC71" s="6">
        <f>$M$71*$W$71</f>
        <v>178172.25498000003</v>
      </c>
      <c r="AD71" s="6">
        <f>$O$71*$X$71</f>
        <v>114856.84208</v>
      </c>
      <c r="AE71" s="6">
        <f>$K$71*$Y$71</f>
        <v>0</v>
      </c>
      <c r="AF71" s="6">
        <f ca="1">$M$71*$Z$71</f>
        <v>240386.10248231472</v>
      </c>
      <c r="AG71" s="6">
        <f>$O$71*$AA$71</f>
        <v>94999.241957422229</v>
      </c>
    </row>
    <row r="72" spans="1:33" ht="11.25" customHeight="1" x14ac:dyDescent="0.25">
      <c r="A72" s="4" t="s">
        <v>27</v>
      </c>
      <c r="B72" s="4" t="s">
        <v>31</v>
      </c>
      <c r="C72" s="4" t="s">
        <v>23</v>
      </c>
      <c r="D72" s="4" t="s">
        <v>32</v>
      </c>
      <c r="E72" s="4" t="s">
        <v>25</v>
      </c>
      <c r="F72" s="4" t="s">
        <v>25</v>
      </c>
      <c r="G72" s="4" t="s">
        <v>25</v>
      </c>
      <c r="H72" s="4" t="s">
        <v>25</v>
      </c>
      <c r="I72" s="5">
        <v>44562</v>
      </c>
      <c r="J72" s="6">
        <v>0</v>
      </c>
      <c r="K72" s="6">
        <v>0</v>
      </c>
      <c r="L72" s="6">
        <v>37.558999999999997</v>
      </c>
      <c r="M72" s="6">
        <v>37.558999999999997</v>
      </c>
      <c r="N72" s="6">
        <v>37.558999999999997</v>
      </c>
      <c r="O72" s="6">
        <v>37.558999999999997</v>
      </c>
      <c r="P72" s="6">
        <v>43</v>
      </c>
      <c r="Q72" s="4" t="s">
        <v>26</v>
      </c>
      <c r="R72" s="4">
        <v>0</v>
      </c>
      <c r="S72" s="6">
        <v>0</v>
      </c>
      <c r="T72" s="6">
        <v>41</v>
      </c>
      <c r="U72" s="6">
        <v>39</v>
      </c>
      <c r="V72" s="6">
        <f>IF(ISERROR(VLOOKUP($S$72,'TAR FIN'!$A$1:$O$73,15,0)),0,VLOOKUP($S$72,'TAR FIN'!$A$1:$O$73,15,0))</f>
        <v>0</v>
      </c>
      <c r="W72" s="6">
        <f>IF(ISERROR(VLOOKUP($T$72,'TAR FIN'!$A$1:$O$73,15,0)),0,VLOOKUP($T$72,'TAR FIN'!$A$1:$O$73,15,0))</f>
        <v>338.67</v>
      </c>
      <c r="X72" s="6">
        <f>IF(ISERROR(VLOOKUP($U$72,'TAR FIN'!$A$1:$O$73,15,0)),0,VLOOKUP($U$72,'TAR FIN'!$A$1:$O$73,15,0))</f>
        <v>218.32</v>
      </c>
      <c r="Y72" s="6"/>
      <c r="Z72" s="6">
        <f ca="1">('TUSD BE'!$AM$33+'TUSD BF'!$AM$33+'TUSD CVA'!$AM$33)*(1-CUSTOS!$M$38)</f>
        <v>456.92614339322381</v>
      </c>
      <c r="AA72" s="6">
        <f>('TE BE'!$AB$23+'TE BF'!$AB$23+'TE CVA'!$AB$23)*(1-CUSTOS!$M$38)</f>
        <v>180.57465387824652</v>
      </c>
      <c r="AB72" s="6">
        <f>$K$72*$V$72</f>
        <v>0</v>
      </c>
      <c r="AC72" s="6">
        <f>$M$72*$W$72</f>
        <v>12720.106529999999</v>
      </c>
      <c r="AD72" s="6">
        <f>$O$72*$X$72</f>
        <v>8199.8808799999988</v>
      </c>
      <c r="AE72" s="6">
        <f>$K$72*$Y$72</f>
        <v>0</v>
      </c>
      <c r="AF72" s="6">
        <f ca="1">$M$72*$Z$72</f>
        <v>17161.689019706093</v>
      </c>
      <c r="AG72" s="6">
        <f>$O$72*$AA$72</f>
        <v>6782.203425013061</v>
      </c>
    </row>
    <row r="73" spans="1:33" ht="11.25" customHeight="1" x14ac:dyDescent="0.25">
      <c r="A73" s="4" t="s">
        <v>21</v>
      </c>
      <c r="B73" s="4" t="s">
        <v>31</v>
      </c>
      <c r="C73" s="4" t="s">
        <v>23</v>
      </c>
      <c r="D73" s="4" t="s">
        <v>32</v>
      </c>
      <c r="E73" s="4" t="s">
        <v>25</v>
      </c>
      <c r="F73" s="4" t="s">
        <v>25</v>
      </c>
      <c r="G73" s="4" t="s">
        <v>25</v>
      </c>
      <c r="H73" s="4" t="s">
        <v>25</v>
      </c>
      <c r="I73" s="5">
        <v>44593</v>
      </c>
      <c r="J73" s="6">
        <v>0</v>
      </c>
      <c r="K73" s="6">
        <v>0</v>
      </c>
      <c r="L73" s="6">
        <v>526.80399999999997</v>
      </c>
      <c r="M73" s="6">
        <v>526.80399999999997</v>
      </c>
      <c r="N73" s="6">
        <v>526.80399999999997</v>
      </c>
      <c r="O73" s="6">
        <v>526.80399999999997</v>
      </c>
      <c r="P73" s="6">
        <v>1496</v>
      </c>
      <c r="Q73" s="4" t="s">
        <v>26</v>
      </c>
      <c r="R73" s="4">
        <v>0</v>
      </c>
      <c r="S73" s="6">
        <v>0</v>
      </c>
      <c r="T73" s="6">
        <v>41</v>
      </c>
      <c r="U73" s="6">
        <v>39</v>
      </c>
      <c r="V73" s="6">
        <f>IF(ISERROR(VLOOKUP($S$73,'TAR FIN'!$A$1:$O$73,15,0)),0,VLOOKUP($S$73,'TAR FIN'!$A$1:$O$73,15,0))</f>
        <v>0</v>
      </c>
      <c r="W73" s="6">
        <f>IF(ISERROR(VLOOKUP($T$73,'TAR FIN'!$A$1:$O$73,15,0)),0,VLOOKUP($T$73,'TAR FIN'!$A$1:$O$73,15,0))</f>
        <v>338.67</v>
      </c>
      <c r="X73" s="6">
        <f>IF(ISERROR(VLOOKUP($U$73,'TAR FIN'!$A$1:$O$73,15,0)),0,VLOOKUP($U$73,'TAR FIN'!$A$1:$O$73,15,0))</f>
        <v>218.32</v>
      </c>
      <c r="Y73" s="6"/>
      <c r="Z73" s="6">
        <f ca="1">('TUSD BE'!$AM$33+'TUSD BF'!$AM$33+'TUSD CVA'!$AM$33)*(1-CUSTOS!$M$38)</f>
        <v>456.92614339322381</v>
      </c>
      <c r="AA73" s="6">
        <f>('TE BE'!$AB$23+'TE BF'!$AB$23+'TE CVA'!$AB$23)*(1-CUSTOS!$M$38)</f>
        <v>180.57465387824652</v>
      </c>
      <c r="AB73" s="6">
        <f>$K$73*$V$73</f>
        <v>0</v>
      </c>
      <c r="AC73" s="6">
        <f>$M$73*$W$73</f>
        <v>178412.71067999999</v>
      </c>
      <c r="AD73" s="6">
        <f>$O$73*$X$73</f>
        <v>115011.84927999999</v>
      </c>
      <c r="AE73" s="6">
        <f>$K$73*$Y$73</f>
        <v>0</v>
      </c>
      <c r="AF73" s="6">
        <f ca="1">$M$73*$Z$73</f>
        <v>240710.52004412387</v>
      </c>
      <c r="AG73" s="6">
        <f>$O$73*$AA$73</f>
        <v>95127.449961675782</v>
      </c>
    </row>
    <row r="74" spans="1:33" ht="11.25" customHeight="1" x14ac:dyDescent="0.25">
      <c r="A74" s="4" t="s">
        <v>27</v>
      </c>
      <c r="B74" s="4" t="s">
        <v>31</v>
      </c>
      <c r="C74" s="4" t="s">
        <v>23</v>
      </c>
      <c r="D74" s="4" t="s">
        <v>32</v>
      </c>
      <c r="E74" s="4" t="s">
        <v>25</v>
      </c>
      <c r="F74" s="4" t="s">
        <v>25</v>
      </c>
      <c r="G74" s="4" t="s">
        <v>25</v>
      </c>
      <c r="H74" s="4" t="s">
        <v>25</v>
      </c>
      <c r="I74" s="5">
        <v>44593</v>
      </c>
      <c r="J74" s="6">
        <v>0</v>
      </c>
      <c r="K74" s="6">
        <v>0</v>
      </c>
      <c r="L74" s="6">
        <v>44.088999999999999</v>
      </c>
      <c r="M74" s="6">
        <v>44.088999999999999</v>
      </c>
      <c r="N74" s="6">
        <v>44.088999999999999</v>
      </c>
      <c r="O74" s="6">
        <v>44.088999999999999</v>
      </c>
      <c r="P74" s="6">
        <v>45</v>
      </c>
      <c r="Q74" s="4" t="s">
        <v>26</v>
      </c>
      <c r="R74" s="4">
        <v>0</v>
      </c>
      <c r="S74" s="6">
        <v>0</v>
      </c>
      <c r="T74" s="6">
        <v>41</v>
      </c>
      <c r="U74" s="6">
        <v>39</v>
      </c>
      <c r="V74" s="6">
        <f>IF(ISERROR(VLOOKUP($S$74,'TAR FIN'!$A$1:$O$73,15,0)),0,VLOOKUP($S$74,'TAR FIN'!$A$1:$O$73,15,0))</f>
        <v>0</v>
      </c>
      <c r="W74" s="6">
        <f>IF(ISERROR(VLOOKUP($T$74,'TAR FIN'!$A$1:$O$73,15,0)),0,VLOOKUP($T$74,'TAR FIN'!$A$1:$O$73,15,0))</f>
        <v>338.67</v>
      </c>
      <c r="X74" s="6">
        <f>IF(ISERROR(VLOOKUP($U$74,'TAR FIN'!$A$1:$O$73,15,0)),0,VLOOKUP($U$74,'TAR FIN'!$A$1:$O$73,15,0))</f>
        <v>218.32</v>
      </c>
      <c r="Y74" s="6"/>
      <c r="Z74" s="6">
        <f ca="1">('TUSD BE'!$AM$33+'TUSD BF'!$AM$33+'TUSD CVA'!$AM$33)*(1-CUSTOS!$M$38)</f>
        <v>456.92614339322381</v>
      </c>
      <c r="AA74" s="6">
        <f>('TE BE'!$AB$23+'TE BF'!$AB$23+'TE CVA'!$AB$23)*(1-CUSTOS!$M$38)</f>
        <v>180.57465387824652</v>
      </c>
      <c r="AB74" s="6">
        <f>$K$74*$V$74</f>
        <v>0</v>
      </c>
      <c r="AC74" s="6">
        <f>$M$74*$W$74</f>
        <v>14931.62163</v>
      </c>
      <c r="AD74" s="6">
        <f>$O$74*$X$74</f>
        <v>9625.510479999999</v>
      </c>
      <c r="AE74" s="6">
        <f>$K$74*$Y$74</f>
        <v>0</v>
      </c>
      <c r="AF74" s="6">
        <f ca="1">$M$74*$Z$74</f>
        <v>20145.416736063846</v>
      </c>
      <c r="AG74" s="6">
        <f>$O$74*$AA$74</f>
        <v>7961.3559148380109</v>
      </c>
    </row>
    <row r="75" spans="1:33" ht="11.25" customHeight="1" x14ac:dyDescent="0.25">
      <c r="A75" s="4" t="s">
        <v>21</v>
      </c>
      <c r="B75" s="4" t="s">
        <v>31</v>
      </c>
      <c r="C75" s="4" t="s">
        <v>23</v>
      </c>
      <c r="D75" s="4" t="s">
        <v>32</v>
      </c>
      <c r="E75" s="4" t="s">
        <v>25</v>
      </c>
      <c r="F75" s="4" t="s">
        <v>25</v>
      </c>
      <c r="G75" s="4" t="s">
        <v>25</v>
      </c>
      <c r="H75" s="4" t="s">
        <v>25</v>
      </c>
      <c r="I75" s="5">
        <v>44621</v>
      </c>
      <c r="J75" s="6">
        <v>0</v>
      </c>
      <c r="K75" s="6">
        <v>0</v>
      </c>
      <c r="L75" s="6">
        <v>514.68700000000001</v>
      </c>
      <c r="M75" s="6">
        <v>514.68700000000001</v>
      </c>
      <c r="N75" s="6">
        <v>514.68700000000001</v>
      </c>
      <c r="O75" s="6">
        <v>514.68700000000001</v>
      </c>
      <c r="P75" s="6">
        <v>1472</v>
      </c>
      <c r="Q75" s="4" t="s">
        <v>26</v>
      </c>
      <c r="R75" s="4">
        <v>0</v>
      </c>
      <c r="S75" s="6">
        <v>0</v>
      </c>
      <c r="T75" s="6">
        <v>41</v>
      </c>
      <c r="U75" s="6">
        <v>39</v>
      </c>
      <c r="V75" s="6">
        <f>IF(ISERROR(VLOOKUP($S$75,'TAR FIN'!$A$1:$O$73,15,0)),0,VLOOKUP($S$75,'TAR FIN'!$A$1:$O$73,15,0))</f>
        <v>0</v>
      </c>
      <c r="W75" s="6">
        <f>IF(ISERROR(VLOOKUP($T$75,'TAR FIN'!$A$1:$O$73,15,0)),0,VLOOKUP($T$75,'TAR FIN'!$A$1:$O$73,15,0))</f>
        <v>338.67</v>
      </c>
      <c r="X75" s="6">
        <f>IF(ISERROR(VLOOKUP($U$75,'TAR FIN'!$A$1:$O$73,15,0)),0,VLOOKUP($U$75,'TAR FIN'!$A$1:$O$73,15,0))</f>
        <v>218.32</v>
      </c>
      <c r="Y75" s="6"/>
      <c r="Z75" s="6">
        <f ca="1">('TUSD BE'!$AM$33+'TUSD BF'!$AM$33+'TUSD CVA'!$AM$33)*(1-CUSTOS!$M$38)</f>
        <v>456.92614339322381</v>
      </c>
      <c r="AA75" s="6">
        <f>('TE BE'!$AB$23+'TE BF'!$AB$23+'TE CVA'!$AB$23)*(1-CUSTOS!$M$38)</f>
        <v>180.57465387824652</v>
      </c>
      <c r="AB75" s="6">
        <f>$K$75*$V$75</f>
        <v>0</v>
      </c>
      <c r="AC75" s="6">
        <f>$M$75*$W$75</f>
        <v>174309.04629</v>
      </c>
      <c r="AD75" s="6">
        <f>$O$75*$X$75</f>
        <v>112366.46584</v>
      </c>
      <c r="AE75" s="6">
        <f>$K$75*$Y$75</f>
        <v>0</v>
      </c>
      <c r="AF75" s="6">
        <f ca="1">$M$75*$Z$75</f>
        <v>235173.94596462819</v>
      </c>
      <c r="AG75" s="6">
        <f>$O$75*$AA$75</f>
        <v>92939.426880633066</v>
      </c>
    </row>
    <row r="76" spans="1:33" ht="11.25" customHeight="1" x14ac:dyDescent="0.25">
      <c r="A76" s="4" t="s">
        <v>27</v>
      </c>
      <c r="B76" s="4" t="s">
        <v>31</v>
      </c>
      <c r="C76" s="4" t="s">
        <v>23</v>
      </c>
      <c r="D76" s="4" t="s">
        <v>32</v>
      </c>
      <c r="E76" s="4" t="s">
        <v>25</v>
      </c>
      <c r="F76" s="4" t="s">
        <v>25</v>
      </c>
      <c r="G76" s="4" t="s">
        <v>25</v>
      </c>
      <c r="H76" s="4" t="s">
        <v>25</v>
      </c>
      <c r="I76" s="5">
        <v>44621</v>
      </c>
      <c r="J76" s="6">
        <v>0</v>
      </c>
      <c r="K76" s="6">
        <v>0</v>
      </c>
      <c r="L76" s="6">
        <v>45.033999999999999</v>
      </c>
      <c r="M76" s="6">
        <v>45.033999999999999</v>
      </c>
      <c r="N76" s="6">
        <v>45.033999999999999</v>
      </c>
      <c r="O76" s="6">
        <v>45.033999999999999</v>
      </c>
      <c r="P76" s="6">
        <v>50</v>
      </c>
      <c r="Q76" s="4" t="s">
        <v>26</v>
      </c>
      <c r="R76" s="4">
        <v>0</v>
      </c>
      <c r="S76" s="6">
        <v>0</v>
      </c>
      <c r="T76" s="6">
        <v>41</v>
      </c>
      <c r="U76" s="6">
        <v>39</v>
      </c>
      <c r="V76" s="6">
        <f>IF(ISERROR(VLOOKUP($S$76,'TAR FIN'!$A$1:$O$73,15,0)),0,VLOOKUP($S$76,'TAR FIN'!$A$1:$O$73,15,0))</f>
        <v>0</v>
      </c>
      <c r="W76" s="6">
        <f>IF(ISERROR(VLOOKUP($T$76,'TAR FIN'!$A$1:$O$73,15,0)),0,VLOOKUP($T$76,'TAR FIN'!$A$1:$O$73,15,0))</f>
        <v>338.67</v>
      </c>
      <c r="X76" s="6">
        <f>IF(ISERROR(VLOOKUP($U$76,'TAR FIN'!$A$1:$O$73,15,0)),0,VLOOKUP($U$76,'TAR FIN'!$A$1:$O$73,15,0))</f>
        <v>218.32</v>
      </c>
      <c r="Y76" s="6"/>
      <c r="Z76" s="6">
        <f ca="1">('TUSD BE'!$AM$33+'TUSD BF'!$AM$33+'TUSD CVA'!$AM$33)*(1-CUSTOS!$M$38)</f>
        <v>456.92614339322381</v>
      </c>
      <c r="AA76" s="6">
        <f>('TE BE'!$AB$23+'TE BF'!$AB$23+'TE CVA'!$AB$23)*(1-CUSTOS!$M$38)</f>
        <v>180.57465387824652</v>
      </c>
      <c r="AB76" s="6">
        <f>$K$76*$V$76</f>
        <v>0</v>
      </c>
      <c r="AC76" s="6">
        <f>$M$76*$W$76</f>
        <v>15251.664780000001</v>
      </c>
      <c r="AD76" s="6">
        <f>$O$76*$X$76</f>
        <v>9831.8228799999997</v>
      </c>
      <c r="AE76" s="6">
        <f>$K$76*$Y$76</f>
        <v>0</v>
      </c>
      <c r="AF76" s="6">
        <f ca="1">$M$76*$Z$76</f>
        <v>20577.21194157044</v>
      </c>
      <c r="AG76" s="6">
        <f>$O$76*$AA$76</f>
        <v>8131.998962752954</v>
      </c>
    </row>
    <row r="77" spans="1:33" ht="11.25" customHeight="1" x14ac:dyDescent="0.25">
      <c r="A77" s="4" t="s">
        <v>21</v>
      </c>
      <c r="B77" s="4" t="s">
        <v>31</v>
      </c>
      <c r="C77" s="4" t="s">
        <v>23</v>
      </c>
      <c r="D77" s="4" t="s">
        <v>32</v>
      </c>
      <c r="E77" s="4" t="s">
        <v>25</v>
      </c>
      <c r="F77" s="4" t="s">
        <v>25</v>
      </c>
      <c r="G77" s="4" t="s">
        <v>25</v>
      </c>
      <c r="H77" s="4" t="s">
        <v>25</v>
      </c>
      <c r="I77" s="5">
        <v>44652</v>
      </c>
      <c r="J77" s="6">
        <v>0</v>
      </c>
      <c r="K77" s="6">
        <v>0</v>
      </c>
      <c r="L77" s="6">
        <v>459.70800000000003</v>
      </c>
      <c r="M77" s="6">
        <v>459.70800000000003</v>
      </c>
      <c r="N77" s="6">
        <v>459.70800000000003</v>
      </c>
      <c r="O77" s="6">
        <v>459.70800000000003</v>
      </c>
      <c r="P77" s="6">
        <v>1423</v>
      </c>
      <c r="Q77" s="4" t="s">
        <v>26</v>
      </c>
      <c r="R77" s="4">
        <v>0</v>
      </c>
      <c r="S77" s="6">
        <v>0</v>
      </c>
      <c r="T77" s="6">
        <v>41</v>
      </c>
      <c r="U77" s="6">
        <v>39</v>
      </c>
      <c r="V77" s="6">
        <f>IF(ISERROR(VLOOKUP($S$77,'TAR FIN'!$A$1:$O$73,15,0)),0,VLOOKUP($S$77,'TAR FIN'!$A$1:$O$73,15,0))</f>
        <v>0</v>
      </c>
      <c r="W77" s="6">
        <f>IF(ISERROR(VLOOKUP($T$77,'TAR FIN'!$A$1:$O$73,15,0)),0,VLOOKUP($T$77,'TAR FIN'!$A$1:$O$73,15,0))</f>
        <v>338.67</v>
      </c>
      <c r="X77" s="6">
        <f>IF(ISERROR(VLOOKUP($U$77,'TAR FIN'!$A$1:$O$73,15,0)),0,VLOOKUP($U$77,'TAR FIN'!$A$1:$O$73,15,0))</f>
        <v>218.32</v>
      </c>
      <c r="Y77" s="6"/>
      <c r="Z77" s="6">
        <f ca="1">('TUSD BE'!$AM$33+'TUSD BF'!$AM$33+'TUSD CVA'!$AM$33)*(1-CUSTOS!$M$38)</f>
        <v>456.92614339322381</v>
      </c>
      <c r="AA77" s="6">
        <f>('TE BE'!$AB$23+'TE BF'!$AB$23+'TE CVA'!$AB$23)*(1-CUSTOS!$M$38)</f>
        <v>180.57465387824652</v>
      </c>
      <c r="AB77" s="6">
        <f>$K$77*$V$77</f>
        <v>0</v>
      </c>
      <c r="AC77" s="6">
        <f>$M$77*$W$77</f>
        <v>155689.30836000002</v>
      </c>
      <c r="AD77" s="6">
        <f>$O$77*$X$77</f>
        <v>100363.45056</v>
      </c>
      <c r="AE77" s="6">
        <f>$K$77*$Y$77</f>
        <v>0</v>
      </c>
      <c r="AF77" s="6">
        <f ca="1">$M$77*$Z$77</f>
        <v>210052.60352701214</v>
      </c>
      <c r="AG77" s="6">
        <f>$O$77*$AA$77</f>
        <v>83011.612985060958</v>
      </c>
    </row>
    <row r="78" spans="1:33" ht="11.25" customHeight="1" x14ac:dyDescent="0.25">
      <c r="A78" s="4" t="s">
        <v>27</v>
      </c>
      <c r="B78" s="4" t="s">
        <v>31</v>
      </c>
      <c r="C78" s="4" t="s">
        <v>23</v>
      </c>
      <c r="D78" s="4" t="s">
        <v>32</v>
      </c>
      <c r="E78" s="4" t="s">
        <v>25</v>
      </c>
      <c r="F78" s="4" t="s">
        <v>25</v>
      </c>
      <c r="G78" s="4" t="s">
        <v>25</v>
      </c>
      <c r="H78" s="4" t="s">
        <v>25</v>
      </c>
      <c r="I78" s="5">
        <v>44652</v>
      </c>
      <c r="J78" s="6">
        <v>0</v>
      </c>
      <c r="K78" s="6">
        <v>0</v>
      </c>
      <c r="L78" s="6">
        <v>40.585999999999999</v>
      </c>
      <c r="M78" s="6">
        <v>40.585999999999999</v>
      </c>
      <c r="N78" s="6">
        <v>40.585999999999999</v>
      </c>
      <c r="O78" s="6">
        <v>40.585999999999999</v>
      </c>
      <c r="P78" s="6">
        <v>53</v>
      </c>
      <c r="Q78" s="4" t="s">
        <v>26</v>
      </c>
      <c r="R78" s="4">
        <v>0</v>
      </c>
      <c r="S78" s="6">
        <v>0</v>
      </c>
      <c r="T78" s="6">
        <v>41</v>
      </c>
      <c r="U78" s="6">
        <v>39</v>
      </c>
      <c r="V78" s="6">
        <f>IF(ISERROR(VLOOKUP($S$78,'TAR FIN'!$A$1:$O$73,15,0)),0,VLOOKUP($S$78,'TAR FIN'!$A$1:$O$73,15,0))</f>
        <v>0</v>
      </c>
      <c r="W78" s="6">
        <f>IF(ISERROR(VLOOKUP($T$78,'TAR FIN'!$A$1:$O$73,15,0)),0,VLOOKUP($T$78,'TAR FIN'!$A$1:$O$73,15,0))</f>
        <v>338.67</v>
      </c>
      <c r="X78" s="6">
        <f>IF(ISERROR(VLOOKUP($U$78,'TAR FIN'!$A$1:$O$73,15,0)),0,VLOOKUP($U$78,'TAR FIN'!$A$1:$O$73,15,0))</f>
        <v>218.32</v>
      </c>
      <c r="Y78" s="6"/>
      <c r="Z78" s="6">
        <f ca="1">('TUSD BE'!$AM$33+'TUSD BF'!$AM$33+'TUSD CVA'!$AM$33)*(1-CUSTOS!$M$38)</f>
        <v>456.92614339322381</v>
      </c>
      <c r="AA78" s="6">
        <f>('TE BE'!$AB$23+'TE BF'!$AB$23+'TE CVA'!$AB$23)*(1-CUSTOS!$M$38)</f>
        <v>180.57465387824652</v>
      </c>
      <c r="AB78" s="6">
        <f>$K$78*$V$78</f>
        <v>0</v>
      </c>
      <c r="AC78" s="6">
        <f>$M$78*$W$78</f>
        <v>13745.260620000001</v>
      </c>
      <c r="AD78" s="6">
        <f>$O$78*$X$78</f>
        <v>8860.7355200000002</v>
      </c>
      <c r="AE78" s="6">
        <f>$K$78*$Y$78</f>
        <v>0</v>
      </c>
      <c r="AF78" s="6">
        <f ca="1">$M$78*$Z$78</f>
        <v>18544.804455757381</v>
      </c>
      <c r="AG78" s="6">
        <f>$O$78*$AA$78</f>
        <v>7328.8029023025128</v>
      </c>
    </row>
    <row r="79" spans="1:33" ht="11.25" customHeight="1" x14ac:dyDescent="0.25">
      <c r="A79" s="4" t="s">
        <v>21</v>
      </c>
      <c r="B79" s="4" t="s">
        <v>31</v>
      </c>
      <c r="C79" s="4" t="s">
        <v>23</v>
      </c>
      <c r="D79" s="4" t="s">
        <v>32</v>
      </c>
      <c r="E79" s="4" t="s">
        <v>25</v>
      </c>
      <c r="F79" s="4" t="s">
        <v>25</v>
      </c>
      <c r="G79" s="4" t="s">
        <v>25</v>
      </c>
      <c r="H79" s="4" t="s">
        <v>25</v>
      </c>
      <c r="I79" s="5">
        <v>44682</v>
      </c>
      <c r="J79" s="6">
        <v>0</v>
      </c>
      <c r="K79" s="6">
        <v>0</v>
      </c>
      <c r="L79" s="6">
        <v>425.97399999999999</v>
      </c>
      <c r="M79" s="6">
        <v>425.97399999999999</v>
      </c>
      <c r="N79" s="6">
        <v>425.97399999999999</v>
      </c>
      <c r="O79" s="6">
        <v>425.97399999999999</v>
      </c>
      <c r="P79" s="6">
        <v>1419</v>
      </c>
      <c r="Q79" s="4" t="s">
        <v>26</v>
      </c>
      <c r="R79" s="4">
        <v>0</v>
      </c>
      <c r="S79" s="6">
        <v>0</v>
      </c>
      <c r="T79" s="6">
        <v>41</v>
      </c>
      <c r="U79" s="6">
        <v>39</v>
      </c>
      <c r="V79" s="6">
        <f>IF(ISERROR(VLOOKUP($S$79,'TAR FIN'!$A$1:$O$73,15,0)),0,VLOOKUP($S$79,'TAR FIN'!$A$1:$O$73,15,0))</f>
        <v>0</v>
      </c>
      <c r="W79" s="6">
        <f>IF(ISERROR(VLOOKUP($T$79,'TAR FIN'!$A$1:$O$73,15,0)),0,VLOOKUP($T$79,'TAR FIN'!$A$1:$O$73,15,0))</f>
        <v>338.67</v>
      </c>
      <c r="X79" s="6">
        <f>IF(ISERROR(VLOOKUP($U$79,'TAR FIN'!$A$1:$O$73,15,0)),0,VLOOKUP($U$79,'TAR FIN'!$A$1:$O$73,15,0))</f>
        <v>218.32</v>
      </c>
      <c r="Y79" s="6"/>
      <c r="Z79" s="6">
        <f ca="1">('TUSD BE'!$AM$33+'TUSD BF'!$AM$33+'TUSD CVA'!$AM$33)*(1-CUSTOS!$M$38)</f>
        <v>456.92614339322381</v>
      </c>
      <c r="AA79" s="6">
        <f>('TE BE'!$AB$23+'TE BF'!$AB$23+'TE CVA'!$AB$23)*(1-CUSTOS!$M$38)</f>
        <v>180.57465387824652</v>
      </c>
      <c r="AB79" s="6">
        <f>$K$79*$V$79</f>
        <v>0</v>
      </c>
      <c r="AC79" s="6">
        <f>$M$79*$W$79</f>
        <v>144264.61457999999</v>
      </c>
      <c r="AD79" s="6">
        <f>$O$79*$X$79</f>
        <v>92998.643679999994</v>
      </c>
      <c r="AE79" s="6">
        <f>$K$79*$Y$79</f>
        <v>0</v>
      </c>
      <c r="AF79" s="6">
        <f ca="1">$M$79*$Z$79</f>
        <v>194638.65700578512</v>
      </c>
      <c r="AG79" s="6">
        <f>$O$79*$AA$79</f>
        <v>76920.107611132189</v>
      </c>
    </row>
    <row r="80" spans="1:33" ht="11.25" customHeight="1" x14ac:dyDescent="0.25">
      <c r="A80" s="4" t="s">
        <v>27</v>
      </c>
      <c r="B80" s="4" t="s">
        <v>31</v>
      </c>
      <c r="C80" s="4" t="s">
        <v>23</v>
      </c>
      <c r="D80" s="4" t="s">
        <v>32</v>
      </c>
      <c r="E80" s="4" t="s">
        <v>25</v>
      </c>
      <c r="F80" s="4" t="s">
        <v>25</v>
      </c>
      <c r="G80" s="4" t="s">
        <v>25</v>
      </c>
      <c r="H80" s="4" t="s">
        <v>25</v>
      </c>
      <c r="I80" s="5">
        <v>44682</v>
      </c>
      <c r="J80" s="6">
        <v>0</v>
      </c>
      <c r="K80" s="6">
        <v>0</v>
      </c>
      <c r="L80" s="6">
        <v>42.883000000000003</v>
      </c>
      <c r="M80" s="6">
        <v>42.883000000000003</v>
      </c>
      <c r="N80" s="6">
        <v>42.883000000000003</v>
      </c>
      <c r="O80" s="6">
        <v>42.883000000000003</v>
      </c>
      <c r="P80" s="6">
        <v>55</v>
      </c>
      <c r="Q80" s="4" t="s">
        <v>26</v>
      </c>
      <c r="R80" s="4">
        <v>0</v>
      </c>
      <c r="S80" s="6">
        <v>0</v>
      </c>
      <c r="T80" s="6">
        <v>41</v>
      </c>
      <c r="U80" s="6">
        <v>39</v>
      </c>
      <c r="V80" s="6">
        <f>IF(ISERROR(VLOOKUP($S$80,'TAR FIN'!$A$1:$O$73,15,0)),0,VLOOKUP($S$80,'TAR FIN'!$A$1:$O$73,15,0))</f>
        <v>0</v>
      </c>
      <c r="W80" s="6">
        <f>IF(ISERROR(VLOOKUP($T$80,'TAR FIN'!$A$1:$O$73,15,0)),0,VLOOKUP($T$80,'TAR FIN'!$A$1:$O$73,15,0))</f>
        <v>338.67</v>
      </c>
      <c r="X80" s="6">
        <f>IF(ISERROR(VLOOKUP($U$80,'TAR FIN'!$A$1:$O$73,15,0)),0,VLOOKUP($U$80,'TAR FIN'!$A$1:$O$73,15,0))</f>
        <v>218.32</v>
      </c>
      <c r="Y80" s="6"/>
      <c r="Z80" s="6">
        <f ca="1">('TUSD BE'!$AM$33+'TUSD BF'!$AM$33+'TUSD CVA'!$AM$33)*(1-CUSTOS!$M$38)</f>
        <v>456.92614339322381</v>
      </c>
      <c r="AA80" s="6">
        <f>('TE BE'!$AB$23+'TE BF'!$AB$23+'TE CVA'!$AB$23)*(1-CUSTOS!$M$38)</f>
        <v>180.57465387824652</v>
      </c>
      <c r="AB80" s="6">
        <f>$K$80*$V$80</f>
        <v>0</v>
      </c>
      <c r="AC80" s="6">
        <f>$M$80*$W$80</f>
        <v>14523.185610000002</v>
      </c>
      <c r="AD80" s="6">
        <f>$O$80*$X$80</f>
        <v>9362.2165600000008</v>
      </c>
      <c r="AE80" s="6">
        <f>$K$80*$Y$80</f>
        <v>0</v>
      </c>
      <c r="AF80" s="6">
        <f ca="1">$M$80*$Z$80</f>
        <v>19594.363807131616</v>
      </c>
      <c r="AG80" s="6">
        <f>$O$80*$AA$80</f>
        <v>7743.5828822608464</v>
      </c>
    </row>
    <row r="81" spans="1:33" ht="11.25" customHeight="1" x14ac:dyDescent="0.25">
      <c r="A81" s="4" t="s">
        <v>21</v>
      </c>
      <c r="B81" s="4" t="s">
        <v>31</v>
      </c>
      <c r="C81" s="4" t="s">
        <v>23</v>
      </c>
      <c r="D81" s="4" t="s">
        <v>32</v>
      </c>
      <c r="E81" s="4" t="s">
        <v>25</v>
      </c>
      <c r="F81" s="4" t="s">
        <v>25</v>
      </c>
      <c r="G81" s="4" t="s">
        <v>25</v>
      </c>
      <c r="H81" s="4" t="s">
        <v>25</v>
      </c>
      <c r="I81" s="5">
        <v>44713</v>
      </c>
      <c r="J81" s="6">
        <v>0</v>
      </c>
      <c r="K81" s="6">
        <v>0</v>
      </c>
      <c r="L81" s="6">
        <v>466.97800000000001</v>
      </c>
      <c r="M81" s="6">
        <v>466.97800000000001</v>
      </c>
      <c r="N81" s="6">
        <v>466.97800000000001</v>
      </c>
      <c r="O81" s="6">
        <v>466.97800000000001</v>
      </c>
      <c r="P81" s="6">
        <v>1419</v>
      </c>
      <c r="Q81" s="4" t="s">
        <v>26</v>
      </c>
      <c r="R81" s="4">
        <v>0</v>
      </c>
      <c r="S81" s="6">
        <v>0</v>
      </c>
      <c r="T81" s="6">
        <v>41</v>
      </c>
      <c r="U81" s="6">
        <v>39</v>
      </c>
      <c r="V81" s="6">
        <f>IF(ISERROR(VLOOKUP($S$81,'TAR FIN'!$A$1:$O$73,15,0)),0,VLOOKUP($S$81,'TAR FIN'!$A$1:$O$73,15,0))</f>
        <v>0</v>
      </c>
      <c r="W81" s="6">
        <f>IF(ISERROR(VLOOKUP($T$81,'TAR FIN'!$A$1:$O$73,15,0)),0,VLOOKUP($T$81,'TAR FIN'!$A$1:$O$73,15,0))</f>
        <v>338.67</v>
      </c>
      <c r="X81" s="6">
        <f>IF(ISERROR(VLOOKUP($U$81,'TAR FIN'!$A$1:$O$73,15,0)),0,VLOOKUP($U$81,'TAR FIN'!$A$1:$O$73,15,0))</f>
        <v>218.32</v>
      </c>
      <c r="Y81" s="6"/>
      <c r="Z81" s="6">
        <f ca="1">('TUSD BE'!$AM$33+'TUSD BF'!$AM$33+'TUSD CVA'!$AM$33)*(1-CUSTOS!$M$38)</f>
        <v>456.92614339322381</v>
      </c>
      <c r="AA81" s="6">
        <f>('TE BE'!$AB$23+'TE BF'!$AB$23+'TE CVA'!$AB$23)*(1-CUSTOS!$M$38)</f>
        <v>180.57465387824652</v>
      </c>
      <c r="AB81" s="6">
        <f>$K$81*$V$81</f>
        <v>0</v>
      </c>
      <c r="AC81" s="6">
        <f>$M$81*$W$81</f>
        <v>158151.43926000001</v>
      </c>
      <c r="AD81" s="6">
        <f>$O$81*$X$81</f>
        <v>101950.63696</v>
      </c>
      <c r="AE81" s="6">
        <f>$K$81*$Y$81</f>
        <v>0</v>
      </c>
      <c r="AF81" s="6">
        <f ca="1">$M$81*$Z$81</f>
        <v>213374.45658948086</v>
      </c>
      <c r="AG81" s="6">
        <f>$O$81*$AA$81</f>
        <v>84324.390718755807</v>
      </c>
    </row>
    <row r="82" spans="1:33" ht="11.25" customHeight="1" x14ac:dyDescent="0.25">
      <c r="A82" s="4" t="s">
        <v>27</v>
      </c>
      <c r="B82" s="4" t="s">
        <v>31</v>
      </c>
      <c r="C82" s="4" t="s">
        <v>23</v>
      </c>
      <c r="D82" s="4" t="s">
        <v>32</v>
      </c>
      <c r="E82" s="4" t="s">
        <v>25</v>
      </c>
      <c r="F82" s="4" t="s">
        <v>25</v>
      </c>
      <c r="G82" s="4" t="s">
        <v>25</v>
      </c>
      <c r="H82" s="4" t="s">
        <v>25</v>
      </c>
      <c r="I82" s="5">
        <v>44713</v>
      </c>
      <c r="J82" s="6">
        <v>0</v>
      </c>
      <c r="K82" s="6">
        <v>0</v>
      </c>
      <c r="L82" s="6">
        <v>38.088999999999999</v>
      </c>
      <c r="M82" s="6">
        <v>38.088999999999999</v>
      </c>
      <c r="N82" s="6">
        <v>38.088999999999999</v>
      </c>
      <c r="O82" s="6">
        <v>38.088999999999999</v>
      </c>
      <c r="P82" s="6">
        <v>56</v>
      </c>
      <c r="Q82" s="4" t="s">
        <v>26</v>
      </c>
      <c r="R82" s="4">
        <v>0</v>
      </c>
      <c r="S82" s="6">
        <v>0</v>
      </c>
      <c r="T82" s="6">
        <v>41</v>
      </c>
      <c r="U82" s="6">
        <v>39</v>
      </c>
      <c r="V82" s="6">
        <f>IF(ISERROR(VLOOKUP($S$82,'TAR FIN'!$A$1:$O$73,15,0)),0,VLOOKUP($S$82,'TAR FIN'!$A$1:$O$73,15,0))</f>
        <v>0</v>
      </c>
      <c r="W82" s="6">
        <f>IF(ISERROR(VLOOKUP($T$82,'TAR FIN'!$A$1:$O$73,15,0)),0,VLOOKUP($T$82,'TAR FIN'!$A$1:$O$73,15,0))</f>
        <v>338.67</v>
      </c>
      <c r="X82" s="6">
        <f>IF(ISERROR(VLOOKUP($U$82,'TAR FIN'!$A$1:$O$73,15,0)),0,VLOOKUP($U$82,'TAR FIN'!$A$1:$O$73,15,0))</f>
        <v>218.32</v>
      </c>
      <c r="Y82" s="6"/>
      <c r="Z82" s="6">
        <f ca="1">('TUSD BE'!$AM$33+'TUSD BF'!$AM$33+'TUSD CVA'!$AM$33)*(1-CUSTOS!$M$38)</f>
        <v>456.92614339322381</v>
      </c>
      <c r="AA82" s="6">
        <f>('TE BE'!$AB$23+'TE BF'!$AB$23+'TE CVA'!$AB$23)*(1-CUSTOS!$M$38)</f>
        <v>180.57465387824652</v>
      </c>
      <c r="AB82" s="6">
        <f>$K$82*$V$82</f>
        <v>0</v>
      </c>
      <c r="AC82" s="6">
        <f>$M$82*$W$82</f>
        <v>12899.601630000001</v>
      </c>
      <c r="AD82" s="6">
        <f>$O$82*$X$82</f>
        <v>8315.5904799999989</v>
      </c>
      <c r="AE82" s="6">
        <f>$K$82*$Y$82</f>
        <v>0</v>
      </c>
      <c r="AF82" s="6">
        <f ca="1">$M$82*$Z$82</f>
        <v>17403.8598757045</v>
      </c>
      <c r="AG82" s="6">
        <f>$O$82*$AA$82</f>
        <v>6877.9079915685315</v>
      </c>
    </row>
    <row r="83" spans="1:33" ht="11.25" customHeight="1" x14ac:dyDescent="0.25">
      <c r="A83" s="4" t="s">
        <v>21</v>
      </c>
      <c r="B83" s="4" t="s">
        <v>31</v>
      </c>
      <c r="C83" s="4" t="s">
        <v>23</v>
      </c>
      <c r="D83" s="4" t="s">
        <v>32</v>
      </c>
      <c r="E83" s="4" t="s">
        <v>25</v>
      </c>
      <c r="F83" s="4" t="s">
        <v>25</v>
      </c>
      <c r="G83" s="4" t="s">
        <v>25</v>
      </c>
      <c r="H83" s="4" t="s">
        <v>25</v>
      </c>
      <c r="I83" s="5">
        <v>44743</v>
      </c>
      <c r="J83" s="6">
        <v>0</v>
      </c>
      <c r="K83" s="6">
        <v>0</v>
      </c>
      <c r="L83" s="6">
        <v>445.42899999999997</v>
      </c>
      <c r="M83" s="6">
        <v>445.42899999999997</v>
      </c>
      <c r="N83" s="6">
        <v>445.42899999999997</v>
      </c>
      <c r="O83" s="6">
        <v>445.42899999999997</v>
      </c>
      <c r="P83" s="6">
        <v>1413</v>
      </c>
      <c r="Q83" s="4" t="s">
        <v>26</v>
      </c>
      <c r="R83" s="4">
        <v>0</v>
      </c>
      <c r="S83" s="6">
        <v>0</v>
      </c>
      <c r="T83" s="6">
        <v>41</v>
      </c>
      <c r="U83" s="6">
        <v>39</v>
      </c>
      <c r="V83" s="6">
        <f>IF(ISERROR(VLOOKUP($S$83,'TAR FIN'!$A$1:$O$73,15,0)),0,VLOOKUP($S$83,'TAR FIN'!$A$1:$O$73,15,0))</f>
        <v>0</v>
      </c>
      <c r="W83" s="6">
        <f>IF(ISERROR(VLOOKUP($T$83,'TAR FIN'!$A$1:$O$73,15,0)),0,VLOOKUP($T$83,'TAR FIN'!$A$1:$O$73,15,0))</f>
        <v>338.67</v>
      </c>
      <c r="X83" s="6">
        <f>IF(ISERROR(VLOOKUP($U$83,'TAR FIN'!$A$1:$O$73,15,0)),0,VLOOKUP($U$83,'TAR FIN'!$A$1:$O$73,15,0))</f>
        <v>218.32</v>
      </c>
      <c r="Y83" s="6"/>
      <c r="Z83" s="6">
        <f ca="1">('TUSD BE'!$AM$33+'TUSD BF'!$AM$33+'TUSD CVA'!$AM$33)*(1-CUSTOS!$M$38)</f>
        <v>456.92614339322381</v>
      </c>
      <c r="AA83" s="6">
        <f>('TE BE'!$AB$23+'TE BF'!$AB$23+'TE CVA'!$AB$23)*(1-CUSTOS!$M$38)</f>
        <v>180.57465387824652</v>
      </c>
      <c r="AB83" s="6">
        <f>$K$83*$V$83</f>
        <v>0</v>
      </c>
      <c r="AC83" s="6">
        <f>$M$83*$W$83</f>
        <v>150853.43943</v>
      </c>
      <c r="AD83" s="6">
        <f>$O$83*$X$83</f>
        <v>97246.059279999987</v>
      </c>
      <c r="AE83" s="6">
        <f>$K$83*$Y$83</f>
        <v>0</v>
      </c>
      <c r="AF83" s="6">
        <f ca="1">$M$83*$Z$83</f>
        <v>203528.15512550029</v>
      </c>
      <c r="AG83" s="6">
        <f>$O$83*$AA$83</f>
        <v>80433.187502333472</v>
      </c>
    </row>
    <row r="84" spans="1:33" ht="11.25" customHeight="1" x14ac:dyDescent="0.25">
      <c r="A84" s="4" t="s">
        <v>27</v>
      </c>
      <c r="B84" s="4" t="s">
        <v>31</v>
      </c>
      <c r="C84" s="4" t="s">
        <v>23</v>
      </c>
      <c r="D84" s="4" t="s">
        <v>32</v>
      </c>
      <c r="E84" s="4" t="s">
        <v>25</v>
      </c>
      <c r="F84" s="4" t="s">
        <v>25</v>
      </c>
      <c r="G84" s="4" t="s">
        <v>25</v>
      </c>
      <c r="H84" s="4" t="s">
        <v>25</v>
      </c>
      <c r="I84" s="5">
        <v>44743</v>
      </c>
      <c r="J84" s="6">
        <v>0</v>
      </c>
      <c r="K84" s="6">
        <v>0</v>
      </c>
      <c r="L84" s="6">
        <v>34.158000000000001</v>
      </c>
      <c r="M84" s="6">
        <v>34.158000000000001</v>
      </c>
      <c r="N84" s="6">
        <v>34.158000000000001</v>
      </c>
      <c r="O84" s="6">
        <v>34.158000000000001</v>
      </c>
      <c r="P84" s="6">
        <v>59</v>
      </c>
      <c r="Q84" s="4" t="s">
        <v>26</v>
      </c>
      <c r="R84" s="4">
        <v>0</v>
      </c>
      <c r="S84" s="6">
        <v>0</v>
      </c>
      <c r="T84" s="6">
        <v>41</v>
      </c>
      <c r="U84" s="6">
        <v>39</v>
      </c>
      <c r="V84" s="6">
        <f>IF(ISERROR(VLOOKUP($S$84,'TAR FIN'!$A$1:$O$73,15,0)),0,VLOOKUP($S$84,'TAR FIN'!$A$1:$O$73,15,0))</f>
        <v>0</v>
      </c>
      <c r="W84" s="6">
        <f>IF(ISERROR(VLOOKUP($T$84,'TAR FIN'!$A$1:$O$73,15,0)),0,VLOOKUP($T$84,'TAR FIN'!$A$1:$O$73,15,0))</f>
        <v>338.67</v>
      </c>
      <c r="X84" s="6">
        <f>IF(ISERROR(VLOOKUP($U$84,'TAR FIN'!$A$1:$O$73,15,0)),0,VLOOKUP($U$84,'TAR FIN'!$A$1:$O$73,15,0))</f>
        <v>218.32</v>
      </c>
      <c r="Y84" s="6"/>
      <c r="Z84" s="6">
        <f ca="1">('TUSD BE'!$AM$33+'TUSD BF'!$AM$33+'TUSD CVA'!$AM$33)*(1-CUSTOS!$M$38)</f>
        <v>456.92614339322381</v>
      </c>
      <c r="AA84" s="6">
        <f>('TE BE'!$AB$23+'TE BF'!$AB$23+'TE CVA'!$AB$23)*(1-CUSTOS!$M$38)</f>
        <v>180.57465387824652</v>
      </c>
      <c r="AB84" s="6">
        <f>$K$84*$V$84</f>
        <v>0</v>
      </c>
      <c r="AC84" s="6">
        <f>$M$84*$W$84</f>
        <v>11568.289860000001</v>
      </c>
      <c r="AD84" s="6">
        <f>$O$84*$X$84</f>
        <v>7457.3745600000002</v>
      </c>
      <c r="AE84" s="6">
        <f>$K$84*$Y$84</f>
        <v>0</v>
      </c>
      <c r="AF84" s="6">
        <f ca="1">$M$84*$Z$84</f>
        <v>15607.68320602574</v>
      </c>
      <c r="AG84" s="6">
        <f>$O$84*$AA$84</f>
        <v>6168.0690271731446</v>
      </c>
    </row>
    <row r="85" spans="1:33" ht="11.25" customHeight="1" x14ac:dyDescent="0.25">
      <c r="A85" s="4" t="s">
        <v>21</v>
      </c>
      <c r="B85" s="4" t="s">
        <v>31</v>
      </c>
      <c r="C85" s="4" t="s">
        <v>23</v>
      </c>
      <c r="D85" s="4" t="s">
        <v>32</v>
      </c>
      <c r="E85" s="4" t="s">
        <v>25</v>
      </c>
      <c r="F85" s="4" t="s">
        <v>25</v>
      </c>
      <c r="G85" s="4" t="s">
        <v>25</v>
      </c>
      <c r="H85" s="4" t="s">
        <v>25</v>
      </c>
      <c r="I85" s="5">
        <v>44774</v>
      </c>
      <c r="J85" s="6">
        <v>0</v>
      </c>
      <c r="K85" s="6">
        <v>0</v>
      </c>
      <c r="L85" s="6">
        <v>496.76</v>
      </c>
      <c r="M85" s="6">
        <v>496.76</v>
      </c>
      <c r="N85" s="6">
        <v>496.76</v>
      </c>
      <c r="O85" s="6">
        <v>496.76</v>
      </c>
      <c r="P85" s="6">
        <v>1409</v>
      </c>
      <c r="Q85" s="4" t="s">
        <v>26</v>
      </c>
      <c r="R85" s="4">
        <v>0</v>
      </c>
      <c r="S85" s="6">
        <v>0</v>
      </c>
      <c r="T85" s="6">
        <v>41</v>
      </c>
      <c r="U85" s="6">
        <v>39</v>
      </c>
      <c r="V85" s="6">
        <f>IF(ISERROR(VLOOKUP($S$85,'TAR FIN'!$A$1:$O$73,15,0)),0,VLOOKUP($S$85,'TAR FIN'!$A$1:$O$73,15,0))</f>
        <v>0</v>
      </c>
      <c r="W85" s="6">
        <f>IF(ISERROR(VLOOKUP($T$85,'TAR FIN'!$A$1:$O$73,15,0)),0,VLOOKUP($T$85,'TAR FIN'!$A$1:$O$73,15,0))</f>
        <v>338.67</v>
      </c>
      <c r="X85" s="6">
        <f>IF(ISERROR(VLOOKUP($U$85,'TAR FIN'!$A$1:$O$73,15,0)),0,VLOOKUP($U$85,'TAR FIN'!$A$1:$O$73,15,0))</f>
        <v>218.32</v>
      </c>
      <c r="Y85" s="6"/>
      <c r="Z85" s="6">
        <f ca="1">('TUSD BE'!$AM$33+'TUSD BF'!$AM$33+'TUSD CVA'!$AM$33)*(1-CUSTOS!$M$38)</f>
        <v>456.92614339322381</v>
      </c>
      <c r="AA85" s="6">
        <f>('TE BE'!$AB$23+'TE BF'!$AB$23+'TE CVA'!$AB$23)*(1-CUSTOS!$M$38)</f>
        <v>180.57465387824652</v>
      </c>
      <c r="AB85" s="6">
        <f>$K$85*$V$85</f>
        <v>0</v>
      </c>
      <c r="AC85" s="6">
        <f>$M$85*$W$85</f>
        <v>168237.70920000001</v>
      </c>
      <c r="AD85" s="6">
        <f>$O$85*$X$85</f>
        <v>108452.64319999999</v>
      </c>
      <c r="AE85" s="6">
        <f>$K$85*$Y$85</f>
        <v>0</v>
      </c>
      <c r="AF85" s="6">
        <f ca="1">$M$85*$Z$85</f>
        <v>226982.63099201786</v>
      </c>
      <c r="AG85" s="6">
        <f>$O$85*$AA$85</f>
        <v>89702.265060557736</v>
      </c>
    </row>
    <row r="86" spans="1:33" ht="11.25" customHeight="1" x14ac:dyDescent="0.25">
      <c r="A86" s="4" t="s">
        <v>27</v>
      </c>
      <c r="B86" s="4" t="s">
        <v>31</v>
      </c>
      <c r="C86" s="4" t="s">
        <v>23</v>
      </c>
      <c r="D86" s="4" t="s">
        <v>32</v>
      </c>
      <c r="E86" s="4" t="s">
        <v>25</v>
      </c>
      <c r="F86" s="4" t="s">
        <v>25</v>
      </c>
      <c r="G86" s="4" t="s">
        <v>25</v>
      </c>
      <c r="H86" s="4" t="s">
        <v>25</v>
      </c>
      <c r="I86" s="5">
        <v>44774</v>
      </c>
      <c r="J86" s="6">
        <v>0</v>
      </c>
      <c r="K86" s="6">
        <v>0</v>
      </c>
      <c r="L86" s="6">
        <v>45.319000000000003</v>
      </c>
      <c r="M86" s="6">
        <v>45.319000000000003</v>
      </c>
      <c r="N86" s="6">
        <v>45.319000000000003</v>
      </c>
      <c r="O86" s="6">
        <v>45.319000000000003</v>
      </c>
      <c r="P86" s="6">
        <v>60</v>
      </c>
      <c r="Q86" s="4" t="s">
        <v>26</v>
      </c>
      <c r="R86" s="4">
        <v>0</v>
      </c>
      <c r="S86" s="6">
        <v>0</v>
      </c>
      <c r="T86" s="6">
        <v>41</v>
      </c>
      <c r="U86" s="6">
        <v>39</v>
      </c>
      <c r="V86" s="6">
        <f>IF(ISERROR(VLOOKUP($S$86,'TAR FIN'!$A$1:$O$73,15,0)),0,VLOOKUP($S$86,'TAR FIN'!$A$1:$O$73,15,0))</f>
        <v>0</v>
      </c>
      <c r="W86" s="6">
        <f>IF(ISERROR(VLOOKUP($T$86,'TAR FIN'!$A$1:$O$73,15,0)),0,VLOOKUP($T$86,'TAR FIN'!$A$1:$O$73,15,0))</f>
        <v>338.67</v>
      </c>
      <c r="X86" s="6">
        <f>IF(ISERROR(VLOOKUP($U$86,'TAR FIN'!$A$1:$O$73,15,0)),0,VLOOKUP($U$86,'TAR FIN'!$A$1:$O$73,15,0))</f>
        <v>218.32</v>
      </c>
      <c r="Y86" s="6"/>
      <c r="Z86" s="6">
        <f ca="1">('TUSD BE'!$AM$33+'TUSD BF'!$AM$33+'TUSD CVA'!$AM$33)*(1-CUSTOS!$M$38)</f>
        <v>456.92614339322381</v>
      </c>
      <c r="AA86" s="6">
        <f>('TE BE'!$AB$23+'TE BF'!$AB$23+'TE CVA'!$AB$23)*(1-CUSTOS!$M$38)</f>
        <v>180.57465387824652</v>
      </c>
      <c r="AB86" s="6">
        <f>$K$86*$V$86</f>
        <v>0</v>
      </c>
      <c r="AC86" s="6">
        <f>$M$86*$W$86</f>
        <v>15348.185730000001</v>
      </c>
      <c r="AD86" s="6">
        <f>$O$86*$X$86</f>
        <v>9894.0440799999997</v>
      </c>
      <c r="AE86" s="6">
        <f>$K$86*$Y$86</f>
        <v>0</v>
      </c>
      <c r="AF86" s="6">
        <f ca="1">$M$86*$Z$86</f>
        <v>20707.435892437512</v>
      </c>
      <c r="AG86" s="6">
        <f>$O$86*$AA$86</f>
        <v>8183.4627391082549</v>
      </c>
    </row>
    <row r="87" spans="1:33" ht="11.25" customHeight="1" x14ac:dyDescent="0.25">
      <c r="A87" s="4" t="s">
        <v>21</v>
      </c>
      <c r="B87" s="4" t="s">
        <v>31</v>
      </c>
      <c r="C87" s="4" t="s">
        <v>23</v>
      </c>
      <c r="D87" s="4" t="s">
        <v>32</v>
      </c>
      <c r="E87" s="4" t="s">
        <v>25</v>
      </c>
      <c r="F87" s="4" t="s">
        <v>25</v>
      </c>
      <c r="G87" s="4" t="s">
        <v>25</v>
      </c>
      <c r="H87" s="4" t="s">
        <v>25</v>
      </c>
      <c r="I87" s="5">
        <v>44805</v>
      </c>
      <c r="J87" s="6">
        <v>0</v>
      </c>
      <c r="K87" s="6">
        <v>0</v>
      </c>
      <c r="L87" s="6">
        <v>443.57400000000001</v>
      </c>
      <c r="M87" s="6">
        <v>443.57400000000001</v>
      </c>
      <c r="N87" s="6">
        <v>443.57400000000001</v>
      </c>
      <c r="O87" s="6">
        <v>443.57400000000001</v>
      </c>
      <c r="P87" s="6">
        <v>1407</v>
      </c>
      <c r="Q87" s="4" t="s">
        <v>26</v>
      </c>
      <c r="R87" s="4">
        <v>0</v>
      </c>
      <c r="S87" s="6">
        <v>0</v>
      </c>
      <c r="T87" s="6">
        <v>41</v>
      </c>
      <c r="U87" s="6">
        <v>39</v>
      </c>
      <c r="V87" s="6">
        <f>IF(ISERROR(VLOOKUP($S$87,'TAR FIN'!$A$1:$O$73,15,0)),0,VLOOKUP($S$87,'TAR FIN'!$A$1:$O$73,15,0))</f>
        <v>0</v>
      </c>
      <c r="W87" s="6">
        <f>IF(ISERROR(VLOOKUP($T$87,'TAR FIN'!$A$1:$O$73,15,0)),0,VLOOKUP($T$87,'TAR FIN'!$A$1:$O$73,15,0))</f>
        <v>338.67</v>
      </c>
      <c r="X87" s="6">
        <f>IF(ISERROR(VLOOKUP($U$87,'TAR FIN'!$A$1:$O$73,15,0)),0,VLOOKUP($U$87,'TAR FIN'!$A$1:$O$73,15,0))</f>
        <v>218.32</v>
      </c>
      <c r="Y87" s="6"/>
      <c r="Z87" s="6">
        <f ca="1">('TUSD BE'!$AM$33+'TUSD BF'!$AM$33+'TUSD CVA'!$AM$33)*(1-CUSTOS!$M$38)</f>
        <v>456.92614339322381</v>
      </c>
      <c r="AA87" s="6">
        <f>('TE BE'!$AB$23+'TE BF'!$AB$23+'TE CVA'!$AB$23)*(1-CUSTOS!$M$38)</f>
        <v>180.57465387824652</v>
      </c>
      <c r="AB87" s="6">
        <f>$K$87*$V$87</f>
        <v>0</v>
      </c>
      <c r="AC87" s="6">
        <f>$M$87*$W$87</f>
        <v>150225.20658</v>
      </c>
      <c r="AD87" s="6">
        <f>$O$87*$X$87</f>
        <v>96841.075679999994</v>
      </c>
      <c r="AE87" s="6">
        <f>$K$87*$Y$87</f>
        <v>0</v>
      </c>
      <c r="AF87" s="6">
        <f ca="1">$M$87*$Z$87</f>
        <v>202680.55712950588</v>
      </c>
      <c r="AG87" s="6">
        <f>$O$87*$AA$87</f>
        <v>80098.221519389321</v>
      </c>
    </row>
    <row r="88" spans="1:33" ht="11.25" customHeight="1" x14ac:dyDescent="0.25">
      <c r="A88" s="4" t="s">
        <v>27</v>
      </c>
      <c r="B88" s="4" t="s">
        <v>31</v>
      </c>
      <c r="C88" s="4" t="s">
        <v>23</v>
      </c>
      <c r="D88" s="4" t="s">
        <v>32</v>
      </c>
      <c r="E88" s="4" t="s">
        <v>25</v>
      </c>
      <c r="F88" s="4" t="s">
        <v>25</v>
      </c>
      <c r="G88" s="4" t="s">
        <v>25</v>
      </c>
      <c r="H88" s="4" t="s">
        <v>25</v>
      </c>
      <c r="I88" s="5">
        <v>44805</v>
      </c>
      <c r="J88" s="6">
        <v>0</v>
      </c>
      <c r="K88" s="6">
        <v>0</v>
      </c>
      <c r="L88" s="6">
        <v>46.637</v>
      </c>
      <c r="M88" s="6">
        <v>46.637</v>
      </c>
      <c r="N88" s="6">
        <v>46.637</v>
      </c>
      <c r="O88" s="6">
        <v>46.637</v>
      </c>
      <c r="P88" s="6">
        <v>62</v>
      </c>
      <c r="Q88" s="4" t="s">
        <v>26</v>
      </c>
      <c r="R88" s="4">
        <v>0</v>
      </c>
      <c r="S88" s="6">
        <v>0</v>
      </c>
      <c r="T88" s="6">
        <v>41</v>
      </c>
      <c r="U88" s="6">
        <v>39</v>
      </c>
      <c r="V88" s="6">
        <f>IF(ISERROR(VLOOKUP($S$88,'TAR FIN'!$A$1:$O$73,15,0)),0,VLOOKUP($S$88,'TAR FIN'!$A$1:$O$73,15,0))</f>
        <v>0</v>
      </c>
      <c r="W88" s="6">
        <f>IF(ISERROR(VLOOKUP($T$88,'TAR FIN'!$A$1:$O$73,15,0)),0,VLOOKUP($T$88,'TAR FIN'!$A$1:$O$73,15,0))</f>
        <v>338.67</v>
      </c>
      <c r="X88" s="6">
        <f>IF(ISERROR(VLOOKUP($U$88,'TAR FIN'!$A$1:$O$73,15,0)),0,VLOOKUP($U$88,'TAR FIN'!$A$1:$O$73,15,0))</f>
        <v>218.32</v>
      </c>
      <c r="Y88" s="6"/>
      <c r="Z88" s="6">
        <f ca="1">('TUSD BE'!$AM$33+'TUSD BF'!$AM$33+'TUSD CVA'!$AM$33)*(1-CUSTOS!$M$38)</f>
        <v>456.92614339322381</v>
      </c>
      <c r="AA88" s="6">
        <f>('TE BE'!$AB$23+'TE BF'!$AB$23+'TE CVA'!$AB$23)*(1-CUSTOS!$M$38)</f>
        <v>180.57465387824652</v>
      </c>
      <c r="AB88" s="6">
        <f>$K$88*$V$88</f>
        <v>0</v>
      </c>
      <c r="AC88" s="6">
        <f>$M$88*$W$88</f>
        <v>15794.552790000002</v>
      </c>
      <c r="AD88" s="6">
        <f>$O$88*$X$88</f>
        <v>10181.789839999999</v>
      </c>
      <c r="AE88" s="6">
        <f>$K$88*$Y$88</f>
        <v>0</v>
      </c>
      <c r="AF88" s="6">
        <f ca="1">$M$88*$Z$88</f>
        <v>21309.664549429777</v>
      </c>
      <c r="AG88" s="6">
        <f>$O$88*$AA$88</f>
        <v>8421.4601329197831</v>
      </c>
    </row>
    <row r="89" spans="1:33" ht="11.25" customHeight="1" x14ac:dyDescent="0.25">
      <c r="A89" s="4" t="s">
        <v>21</v>
      </c>
      <c r="B89" s="4" t="s">
        <v>31</v>
      </c>
      <c r="C89" s="4" t="s">
        <v>23</v>
      </c>
      <c r="D89" s="4" t="s">
        <v>32</v>
      </c>
      <c r="E89" s="4" t="s">
        <v>25</v>
      </c>
      <c r="F89" s="4" t="s">
        <v>25</v>
      </c>
      <c r="G89" s="4" t="s">
        <v>25</v>
      </c>
      <c r="H89" s="4" t="s">
        <v>25</v>
      </c>
      <c r="I89" s="5">
        <v>44835</v>
      </c>
      <c r="J89" s="6">
        <v>0</v>
      </c>
      <c r="K89" s="6">
        <v>0</v>
      </c>
      <c r="L89" s="6">
        <v>490.70600000000002</v>
      </c>
      <c r="M89" s="6">
        <v>490.70600000000002</v>
      </c>
      <c r="N89" s="6">
        <v>490.70600000000002</v>
      </c>
      <c r="O89" s="6">
        <v>490.70600000000002</v>
      </c>
      <c r="P89" s="6">
        <v>1404</v>
      </c>
      <c r="Q89" s="4" t="s">
        <v>26</v>
      </c>
      <c r="R89" s="4">
        <v>0</v>
      </c>
      <c r="S89" s="6">
        <v>0</v>
      </c>
      <c r="T89" s="6">
        <v>41</v>
      </c>
      <c r="U89" s="6">
        <v>39</v>
      </c>
      <c r="V89" s="6">
        <f>IF(ISERROR(VLOOKUP($S$89,'TAR FIN'!$A$1:$O$73,15,0)),0,VLOOKUP($S$89,'TAR FIN'!$A$1:$O$73,15,0))</f>
        <v>0</v>
      </c>
      <c r="W89" s="6">
        <f>IF(ISERROR(VLOOKUP($T$89,'TAR FIN'!$A$1:$O$73,15,0)),0,VLOOKUP($T$89,'TAR FIN'!$A$1:$O$73,15,0))</f>
        <v>338.67</v>
      </c>
      <c r="X89" s="6">
        <f>IF(ISERROR(VLOOKUP($U$89,'TAR FIN'!$A$1:$O$73,15,0)),0,VLOOKUP($U$89,'TAR FIN'!$A$1:$O$73,15,0))</f>
        <v>218.32</v>
      </c>
      <c r="Y89" s="6"/>
      <c r="Z89" s="6">
        <f ca="1">('TUSD BE'!$AM$33+'TUSD BF'!$AM$33+'TUSD CVA'!$AM$33)*(1-CUSTOS!$M$38)</f>
        <v>456.92614339322381</v>
      </c>
      <c r="AA89" s="6">
        <f>('TE BE'!$AB$23+'TE BF'!$AB$23+'TE CVA'!$AB$23)*(1-CUSTOS!$M$38)</f>
        <v>180.57465387824652</v>
      </c>
      <c r="AB89" s="6">
        <f>$K$89*$V$89</f>
        <v>0</v>
      </c>
      <c r="AC89" s="6">
        <f>$M$89*$W$89</f>
        <v>166187.40102000002</v>
      </c>
      <c r="AD89" s="6">
        <f>$O$89*$X$89</f>
        <v>107130.93392</v>
      </c>
      <c r="AE89" s="6">
        <f>$K$89*$Y$89</f>
        <v>0</v>
      </c>
      <c r="AF89" s="6">
        <f ca="1">$M$89*$Z$89</f>
        <v>224216.40011991528</v>
      </c>
      <c r="AG89" s="6">
        <f>$O$89*$AA$89</f>
        <v>88609.06610597884</v>
      </c>
    </row>
    <row r="90" spans="1:33" ht="11.25" customHeight="1" x14ac:dyDescent="0.25">
      <c r="A90" s="4" t="s">
        <v>27</v>
      </c>
      <c r="B90" s="4" t="s">
        <v>31</v>
      </c>
      <c r="C90" s="4" t="s">
        <v>23</v>
      </c>
      <c r="D90" s="4" t="s">
        <v>32</v>
      </c>
      <c r="E90" s="4" t="s">
        <v>25</v>
      </c>
      <c r="F90" s="4" t="s">
        <v>25</v>
      </c>
      <c r="G90" s="4" t="s">
        <v>25</v>
      </c>
      <c r="H90" s="4" t="s">
        <v>25</v>
      </c>
      <c r="I90" s="5">
        <v>44835</v>
      </c>
      <c r="J90" s="6">
        <v>0</v>
      </c>
      <c r="K90" s="6">
        <v>0</v>
      </c>
      <c r="L90" s="6">
        <v>11.884</v>
      </c>
      <c r="M90" s="6">
        <v>11.884</v>
      </c>
      <c r="N90" s="6">
        <v>11.884</v>
      </c>
      <c r="O90" s="6">
        <v>11.884</v>
      </c>
      <c r="P90" s="6">
        <v>64</v>
      </c>
      <c r="Q90" s="4" t="s">
        <v>26</v>
      </c>
      <c r="R90" s="4">
        <v>0</v>
      </c>
      <c r="S90" s="6">
        <v>0</v>
      </c>
      <c r="T90" s="6">
        <v>41</v>
      </c>
      <c r="U90" s="6">
        <v>39</v>
      </c>
      <c r="V90" s="6">
        <f>IF(ISERROR(VLOOKUP($S$90,'TAR FIN'!$A$1:$O$73,15,0)),0,VLOOKUP($S$90,'TAR FIN'!$A$1:$O$73,15,0))</f>
        <v>0</v>
      </c>
      <c r="W90" s="6">
        <f>IF(ISERROR(VLOOKUP($T$90,'TAR FIN'!$A$1:$O$73,15,0)),0,VLOOKUP($T$90,'TAR FIN'!$A$1:$O$73,15,0))</f>
        <v>338.67</v>
      </c>
      <c r="X90" s="6">
        <f>IF(ISERROR(VLOOKUP($U$90,'TAR FIN'!$A$1:$O$73,15,0)),0,VLOOKUP($U$90,'TAR FIN'!$A$1:$O$73,15,0))</f>
        <v>218.32</v>
      </c>
      <c r="Y90" s="6"/>
      <c r="Z90" s="6">
        <f ca="1">('TUSD BE'!$AM$33+'TUSD BF'!$AM$33+'TUSD CVA'!$AM$33)*(1-CUSTOS!$M$38)</f>
        <v>456.92614339322381</v>
      </c>
      <c r="AA90" s="6">
        <f>('TE BE'!$AB$23+'TE BF'!$AB$23+'TE CVA'!$AB$23)*(1-CUSTOS!$M$38)</f>
        <v>180.57465387824652</v>
      </c>
      <c r="AB90" s="6">
        <f>$K$90*$V$90</f>
        <v>0</v>
      </c>
      <c r="AC90" s="6">
        <f>$M$90*$W$90</f>
        <v>4024.7542800000001</v>
      </c>
      <c r="AD90" s="6">
        <f>$O$90*$X$90</f>
        <v>2594.5148800000002</v>
      </c>
      <c r="AE90" s="6">
        <f>$K$90*$Y$90</f>
        <v>0</v>
      </c>
      <c r="AF90" s="6">
        <f ca="1">$M$90*$Z$90</f>
        <v>5430.1102880850722</v>
      </c>
      <c r="AG90" s="6">
        <f>$O$90*$AA$90</f>
        <v>2145.9491866890817</v>
      </c>
    </row>
    <row r="91" spans="1:33" ht="11.25" customHeight="1" x14ac:dyDescent="0.25">
      <c r="A91" s="4" t="s">
        <v>21</v>
      </c>
      <c r="B91" s="4" t="s">
        <v>28</v>
      </c>
      <c r="C91" s="4" t="s">
        <v>23</v>
      </c>
      <c r="D91" s="4" t="s">
        <v>30</v>
      </c>
      <c r="E91" s="4" t="s">
        <v>25</v>
      </c>
      <c r="F91" s="4" t="s">
        <v>25</v>
      </c>
      <c r="G91" s="4" t="s">
        <v>25</v>
      </c>
      <c r="H91" s="4" t="s">
        <v>25</v>
      </c>
      <c r="I91" s="5">
        <v>44501</v>
      </c>
      <c r="J91" s="6">
        <v>0</v>
      </c>
      <c r="K91" s="6">
        <v>0</v>
      </c>
      <c r="L91" s="6">
        <v>97.988</v>
      </c>
      <c r="M91" s="6">
        <v>97.988</v>
      </c>
      <c r="N91" s="6">
        <v>97.988</v>
      </c>
      <c r="O91" s="6">
        <v>97.988</v>
      </c>
      <c r="P91" s="6">
        <v>195</v>
      </c>
      <c r="Q91" s="4" t="s">
        <v>26</v>
      </c>
      <c r="R91" s="4">
        <v>0</v>
      </c>
      <c r="S91" s="6">
        <v>0</v>
      </c>
      <c r="T91" s="6">
        <v>42</v>
      </c>
      <c r="U91" s="6">
        <v>50</v>
      </c>
      <c r="V91" s="6">
        <f>IF(ISERROR(VLOOKUP($S$91,'TAR FIN'!$A$1:$O$73,15,0)),0,VLOOKUP($S$91,'TAR FIN'!$A$1:$O$73,15,0))</f>
        <v>0</v>
      </c>
      <c r="W91" s="6">
        <f>IF(ISERROR(VLOOKUP($T$91,'TAR FIN'!$A$1:$O$73,15,0)),0,VLOOKUP($T$91,'TAR FIN'!$A$1:$O$73,15,0))</f>
        <v>384.85</v>
      </c>
      <c r="X91" s="6">
        <f>IF(ISERROR(VLOOKUP($U$91,'TAR FIN'!$A$1:$O$73,15,0)),0,VLOOKUP($U$91,'TAR FIN'!$A$1:$O$73,15,0))</f>
        <v>248.09</v>
      </c>
      <c r="Y91" s="6"/>
      <c r="Z91" s="6">
        <f ca="1">('TUSD BE'!$AM$48+'TUSD BF'!$AM$48+'TUSD CVA'!$AM$48)*1</f>
        <v>486.0916419076849</v>
      </c>
      <c r="AA91" s="6">
        <f>('TE BE'!$AB$38+'TE BF'!$AB$38+'TE CVA'!$AB$38)*1</f>
        <v>192.10069561515587</v>
      </c>
      <c r="AB91" s="6">
        <f>$K$91*$V$91</f>
        <v>0</v>
      </c>
      <c r="AC91" s="6">
        <f>$M$91*$W$91</f>
        <v>37710.681799999998</v>
      </c>
      <c r="AD91" s="6">
        <f>$O$91*$X$91</f>
        <v>24309.842919999999</v>
      </c>
      <c r="AE91" s="6">
        <f>$K$91*$Y$91</f>
        <v>0</v>
      </c>
      <c r="AF91" s="6">
        <f ca="1">$M$91*$Z$91</f>
        <v>47631.147807250229</v>
      </c>
      <c r="AG91" s="6">
        <f>$O$91*$AA$91</f>
        <v>18823.562961937892</v>
      </c>
    </row>
    <row r="92" spans="1:33" ht="11.25" customHeight="1" x14ac:dyDescent="0.25">
      <c r="A92" s="4" t="s">
        <v>27</v>
      </c>
      <c r="B92" s="4" t="s">
        <v>28</v>
      </c>
      <c r="C92" s="4" t="s">
        <v>23</v>
      </c>
      <c r="D92" s="4" t="s">
        <v>30</v>
      </c>
      <c r="E92" s="4" t="s">
        <v>25</v>
      </c>
      <c r="F92" s="4" t="s">
        <v>25</v>
      </c>
      <c r="G92" s="4" t="s">
        <v>25</v>
      </c>
      <c r="H92" s="4" t="s">
        <v>25</v>
      </c>
      <c r="I92" s="5">
        <v>44501</v>
      </c>
      <c r="J92" s="6">
        <v>0</v>
      </c>
      <c r="K92" s="6">
        <v>0</v>
      </c>
      <c r="L92" s="6">
        <v>12.255000000000001</v>
      </c>
      <c r="M92" s="6">
        <v>12.255000000000001</v>
      </c>
      <c r="N92" s="6">
        <v>12.255000000000001</v>
      </c>
      <c r="O92" s="6">
        <v>12.255000000000001</v>
      </c>
      <c r="P92" s="6">
        <v>13</v>
      </c>
      <c r="Q92" s="4" t="s">
        <v>26</v>
      </c>
      <c r="R92" s="4">
        <v>0</v>
      </c>
      <c r="S92" s="6">
        <v>0</v>
      </c>
      <c r="T92" s="6">
        <v>42</v>
      </c>
      <c r="U92" s="6">
        <v>50</v>
      </c>
      <c r="V92" s="6">
        <f>IF(ISERROR(VLOOKUP($S$92,'TAR FIN'!$A$1:$O$73,15,0)),0,VLOOKUP($S$92,'TAR FIN'!$A$1:$O$73,15,0))</f>
        <v>0</v>
      </c>
      <c r="W92" s="6">
        <f>IF(ISERROR(VLOOKUP($T$92,'TAR FIN'!$A$1:$O$73,15,0)),0,VLOOKUP($T$92,'TAR FIN'!$A$1:$O$73,15,0))</f>
        <v>384.85</v>
      </c>
      <c r="X92" s="6">
        <f>IF(ISERROR(VLOOKUP($U$92,'TAR FIN'!$A$1:$O$73,15,0)),0,VLOOKUP($U$92,'TAR FIN'!$A$1:$O$73,15,0))</f>
        <v>248.09</v>
      </c>
      <c r="Y92" s="6"/>
      <c r="Z92" s="6">
        <f ca="1">('TUSD BE'!$AM$48+'TUSD BF'!$AM$48+'TUSD CVA'!$AM$48)*1</f>
        <v>486.0916419076849</v>
      </c>
      <c r="AA92" s="6">
        <f>('TE BE'!$AB$38+'TE BF'!$AB$38+'TE CVA'!$AB$38)*1</f>
        <v>192.10069561515587</v>
      </c>
      <c r="AB92" s="6">
        <f>$K$92*$V$92</f>
        <v>0</v>
      </c>
      <c r="AC92" s="6">
        <f>$M$92*$W$92</f>
        <v>4716.3367500000004</v>
      </c>
      <c r="AD92" s="6">
        <f>$O$92*$X$92</f>
        <v>3040.3429500000002</v>
      </c>
      <c r="AE92" s="6">
        <f>$K$92*$Y$92</f>
        <v>0</v>
      </c>
      <c r="AF92" s="6">
        <f ca="1">$M$92*$Z$92</f>
        <v>5957.053071578679</v>
      </c>
      <c r="AG92" s="6">
        <f>$O$92*$AA$92</f>
        <v>2354.1940247637353</v>
      </c>
    </row>
    <row r="93" spans="1:33" ht="11.25" customHeight="1" x14ac:dyDescent="0.25">
      <c r="A93" s="4" t="s">
        <v>21</v>
      </c>
      <c r="B93" s="4" t="s">
        <v>28</v>
      </c>
      <c r="C93" s="4" t="s">
        <v>23</v>
      </c>
      <c r="D93" s="4" t="s">
        <v>30</v>
      </c>
      <c r="E93" s="4" t="s">
        <v>25</v>
      </c>
      <c r="F93" s="4" t="s">
        <v>25</v>
      </c>
      <c r="G93" s="4" t="s">
        <v>25</v>
      </c>
      <c r="H93" s="4" t="s">
        <v>25</v>
      </c>
      <c r="I93" s="5">
        <v>44531</v>
      </c>
      <c r="J93" s="6">
        <v>0</v>
      </c>
      <c r="K93" s="6">
        <v>0</v>
      </c>
      <c r="L93" s="6">
        <v>99.230999999999995</v>
      </c>
      <c r="M93" s="6">
        <v>99.230999999999995</v>
      </c>
      <c r="N93" s="6">
        <v>99.230999999999995</v>
      </c>
      <c r="O93" s="6">
        <v>99.230999999999995</v>
      </c>
      <c r="P93" s="6">
        <v>196</v>
      </c>
      <c r="Q93" s="4" t="s">
        <v>26</v>
      </c>
      <c r="R93" s="4">
        <v>0</v>
      </c>
      <c r="S93" s="6">
        <v>0</v>
      </c>
      <c r="T93" s="6">
        <v>42</v>
      </c>
      <c r="U93" s="6">
        <v>50</v>
      </c>
      <c r="V93" s="6">
        <f>IF(ISERROR(VLOOKUP($S$93,'TAR FIN'!$A$1:$O$73,15,0)),0,VLOOKUP($S$93,'TAR FIN'!$A$1:$O$73,15,0))</f>
        <v>0</v>
      </c>
      <c r="W93" s="6">
        <f>IF(ISERROR(VLOOKUP($T$93,'TAR FIN'!$A$1:$O$73,15,0)),0,VLOOKUP($T$93,'TAR FIN'!$A$1:$O$73,15,0))</f>
        <v>384.85</v>
      </c>
      <c r="X93" s="6">
        <f>IF(ISERROR(VLOOKUP($U$93,'TAR FIN'!$A$1:$O$73,15,0)),0,VLOOKUP($U$93,'TAR FIN'!$A$1:$O$73,15,0))</f>
        <v>248.09</v>
      </c>
      <c r="Y93" s="6"/>
      <c r="Z93" s="6">
        <f ca="1">('TUSD BE'!$AM$48+'TUSD BF'!$AM$48+'TUSD CVA'!$AM$48)*1</f>
        <v>486.0916419076849</v>
      </c>
      <c r="AA93" s="6">
        <f>('TE BE'!$AB$38+'TE BF'!$AB$38+'TE CVA'!$AB$38)*1</f>
        <v>192.10069561515587</v>
      </c>
      <c r="AB93" s="6">
        <f>$K$93*$V$93</f>
        <v>0</v>
      </c>
      <c r="AC93" s="6">
        <f>$M$93*$W$93</f>
        <v>38189.050349999998</v>
      </c>
      <c r="AD93" s="6">
        <f>$O$93*$X$93</f>
        <v>24618.218789999999</v>
      </c>
      <c r="AE93" s="6">
        <f>$K$93*$Y$93</f>
        <v>0</v>
      </c>
      <c r="AF93" s="6">
        <f ca="1">$M$93*$Z$93</f>
        <v>48235.359718141481</v>
      </c>
      <c r="AG93" s="6">
        <f>$O$93*$AA$93</f>
        <v>19062.34412658753</v>
      </c>
    </row>
    <row r="94" spans="1:33" ht="11.25" customHeight="1" x14ac:dyDescent="0.25">
      <c r="A94" s="4" t="s">
        <v>27</v>
      </c>
      <c r="B94" s="4" t="s">
        <v>28</v>
      </c>
      <c r="C94" s="4" t="s">
        <v>23</v>
      </c>
      <c r="D94" s="4" t="s">
        <v>30</v>
      </c>
      <c r="E94" s="4" t="s">
        <v>25</v>
      </c>
      <c r="F94" s="4" t="s">
        <v>25</v>
      </c>
      <c r="G94" s="4" t="s">
        <v>25</v>
      </c>
      <c r="H94" s="4" t="s">
        <v>25</v>
      </c>
      <c r="I94" s="5">
        <v>44531</v>
      </c>
      <c r="J94" s="6">
        <v>0</v>
      </c>
      <c r="K94" s="6">
        <v>0</v>
      </c>
      <c r="L94" s="6">
        <v>13.917</v>
      </c>
      <c r="M94" s="6">
        <v>13.917</v>
      </c>
      <c r="N94" s="6">
        <v>13.917</v>
      </c>
      <c r="O94" s="6">
        <v>13.917</v>
      </c>
      <c r="P94" s="6">
        <v>13</v>
      </c>
      <c r="Q94" s="4" t="s">
        <v>26</v>
      </c>
      <c r="R94" s="4">
        <v>0</v>
      </c>
      <c r="S94" s="6">
        <v>0</v>
      </c>
      <c r="T94" s="6">
        <v>42</v>
      </c>
      <c r="U94" s="6">
        <v>50</v>
      </c>
      <c r="V94" s="6">
        <f>IF(ISERROR(VLOOKUP($S$94,'TAR FIN'!$A$1:$O$73,15,0)),0,VLOOKUP($S$94,'TAR FIN'!$A$1:$O$73,15,0))</f>
        <v>0</v>
      </c>
      <c r="W94" s="6">
        <f>IF(ISERROR(VLOOKUP($T$94,'TAR FIN'!$A$1:$O$73,15,0)),0,VLOOKUP($T$94,'TAR FIN'!$A$1:$O$73,15,0))</f>
        <v>384.85</v>
      </c>
      <c r="X94" s="6">
        <f>IF(ISERROR(VLOOKUP($U$94,'TAR FIN'!$A$1:$O$73,15,0)),0,VLOOKUP($U$94,'TAR FIN'!$A$1:$O$73,15,0))</f>
        <v>248.09</v>
      </c>
      <c r="Y94" s="6"/>
      <c r="Z94" s="6">
        <f ca="1">('TUSD BE'!$AM$48+'TUSD BF'!$AM$48+'TUSD CVA'!$AM$48)*1</f>
        <v>486.0916419076849</v>
      </c>
      <c r="AA94" s="6">
        <f>('TE BE'!$AB$38+'TE BF'!$AB$38+'TE CVA'!$AB$38)*1</f>
        <v>192.10069561515587</v>
      </c>
      <c r="AB94" s="6">
        <f>$K$94*$V$94</f>
        <v>0</v>
      </c>
      <c r="AC94" s="6">
        <f>$M$94*$W$94</f>
        <v>5355.9574499999999</v>
      </c>
      <c r="AD94" s="6">
        <f>$O$94*$X$94</f>
        <v>3452.6685299999999</v>
      </c>
      <c r="AE94" s="6">
        <f>$K$94*$Y$94</f>
        <v>0</v>
      </c>
      <c r="AF94" s="6">
        <f ca="1">$M$94*$Z$94</f>
        <v>6764.9373804292509</v>
      </c>
      <c r="AG94" s="6">
        <f>$O$94*$AA$94</f>
        <v>2673.4653808761241</v>
      </c>
    </row>
    <row r="95" spans="1:33" ht="11.25" customHeight="1" x14ac:dyDescent="0.25">
      <c r="A95" s="4" t="s">
        <v>21</v>
      </c>
      <c r="B95" s="4" t="s">
        <v>28</v>
      </c>
      <c r="C95" s="4" t="s">
        <v>23</v>
      </c>
      <c r="D95" s="4" t="s">
        <v>30</v>
      </c>
      <c r="E95" s="4" t="s">
        <v>25</v>
      </c>
      <c r="F95" s="4" t="s">
        <v>25</v>
      </c>
      <c r="G95" s="4" t="s">
        <v>25</v>
      </c>
      <c r="H95" s="4" t="s">
        <v>25</v>
      </c>
      <c r="I95" s="5">
        <v>44562</v>
      </c>
      <c r="J95" s="6">
        <v>0</v>
      </c>
      <c r="K95" s="6">
        <v>0</v>
      </c>
      <c r="L95" s="6">
        <v>108.58799999999999</v>
      </c>
      <c r="M95" s="6">
        <v>108.58799999999999</v>
      </c>
      <c r="N95" s="6">
        <v>108.58799999999999</v>
      </c>
      <c r="O95" s="6">
        <v>108.58799999999999</v>
      </c>
      <c r="P95" s="6">
        <v>197</v>
      </c>
      <c r="Q95" s="4" t="s">
        <v>26</v>
      </c>
      <c r="R95" s="4">
        <v>0</v>
      </c>
      <c r="S95" s="6">
        <v>0</v>
      </c>
      <c r="T95" s="6">
        <v>42</v>
      </c>
      <c r="U95" s="6">
        <v>50</v>
      </c>
      <c r="V95" s="6">
        <f>IF(ISERROR(VLOOKUP($S$95,'TAR FIN'!$A$1:$O$73,15,0)),0,VLOOKUP($S$95,'TAR FIN'!$A$1:$O$73,15,0))</f>
        <v>0</v>
      </c>
      <c r="W95" s="6">
        <f>IF(ISERROR(VLOOKUP($T$95,'TAR FIN'!$A$1:$O$73,15,0)),0,VLOOKUP($T$95,'TAR FIN'!$A$1:$O$73,15,0))</f>
        <v>384.85</v>
      </c>
      <c r="X95" s="6">
        <f>IF(ISERROR(VLOOKUP($U$95,'TAR FIN'!$A$1:$O$73,15,0)),0,VLOOKUP($U$95,'TAR FIN'!$A$1:$O$73,15,0))</f>
        <v>248.09</v>
      </c>
      <c r="Y95" s="6"/>
      <c r="Z95" s="6">
        <f ca="1">('TUSD BE'!$AM$48+'TUSD BF'!$AM$48+'TUSD CVA'!$AM$48)*1</f>
        <v>486.0916419076849</v>
      </c>
      <c r="AA95" s="6">
        <f>('TE BE'!$AB$38+'TE BF'!$AB$38+'TE CVA'!$AB$38)*1</f>
        <v>192.10069561515587</v>
      </c>
      <c r="AB95" s="6">
        <f>$K$95*$V$95</f>
        <v>0</v>
      </c>
      <c r="AC95" s="6">
        <f>$M$95*$W$95</f>
        <v>41790.091800000002</v>
      </c>
      <c r="AD95" s="6">
        <f>$O$95*$X$95</f>
        <v>26939.59692</v>
      </c>
      <c r="AE95" s="6">
        <f>$K$95*$Y$95</f>
        <v>0</v>
      </c>
      <c r="AF95" s="6">
        <f ca="1">$M$95*$Z$95</f>
        <v>52783.719211471682</v>
      </c>
      <c r="AG95" s="6">
        <f>$O$95*$AA$95</f>
        <v>20859.830335458544</v>
      </c>
    </row>
    <row r="96" spans="1:33" ht="11.25" customHeight="1" x14ac:dyDescent="0.25">
      <c r="A96" s="4" t="s">
        <v>27</v>
      </c>
      <c r="B96" s="4" t="s">
        <v>28</v>
      </c>
      <c r="C96" s="4" t="s">
        <v>23</v>
      </c>
      <c r="D96" s="4" t="s">
        <v>30</v>
      </c>
      <c r="E96" s="4" t="s">
        <v>25</v>
      </c>
      <c r="F96" s="4" t="s">
        <v>25</v>
      </c>
      <c r="G96" s="4" t="s">
        <v>25</v>
      </c>
      <c r="H96" s="4" t="s">
        <v>25</v>
      </c>
      <c r="I96" s="5">
        <v>44562</v>
      </c>
      <c r="J96" s="6">
        <v>0</v>
      </c>
      <c r="K96" s="6">
        <v>0</v>
      </c>
      <c r="L96" s="6">
        <v>15.769</v>
      </c>
      <c r="M96" s="6">
        <v>15.769</v>
      </c>
      <c r="N96" s="6">
        <v>15.769</v>
      </c>
      <c r="O96" s="6">
        <v>15.769</v>
      </c>
      <c r="P96" s="6">
        <v>13</v>
      </c>
      <c r="Q96" s="4" t="s">
        <v>26</v>
      </c>
      <c r="R96" s="4">
        <v>0</v>
      </c>
      <c r="S96" s="6">
        <v>0</v>
      </c>
      <c r="T96" s="6">
        <v>42</v>
      </c>
      <c r="U96" s="6">
        <v>50</v>
      </c>
      <c r="V96" s="6">
        <f>IF(ISERROR(VLOOKUP($S$96,'TAR FIN'!$A$1:$O$73,15,0)),0,VLOOKUP($S$96,'TAR FIN'!$A$1:$O$73,15,0))</f>
        <v>0</v>
      </c>
      <c r="W96" s="6">
        <f>IF(ISERROR(VLOOKUP($T$96,'TAR FIN'!$A$1:$O$73,15,0)),0,VLOOKUP($T$96,'TAR FIN'!$A$1:$O$73,15,0))</f>
        <v>384.85</v>
      </c>
      <c r="X96" s="6">
        <f>IF(ISERROR(VLOOKUP($U$96,'TAR FIN'!$A$1:$O$73,15,0)),0,VLOOKUP($U$96,'TAR FIN'!$A$1:$O$73,15,0))</f>
        <v>248.09</v>
      </c>
      <c r="Y96" s="6"/>
      <c r="Z96" s="6">
        <f ca="1">('TUSD BE'!$AM$48+'TUSD BF'!$AM$48+'TUSD CVA'!$AM$48)*1</f>
        <v>486.0916419076849</v>
      </c>
      <c r="AA96" s="6">
        <f>('TE BE'!$AB$38+'TE BF'!$AB$38+'TE CVA'!$AB$38)*1</f>
        <v>192.10069561515587</v>
      </c>
      <c r="AB96" s="6">
        <f>$K$96*$V$96</f>
        <v>0</v>
      </c>
      <c r="AC96" s="6">
        <f>$M$96*$W$96</f>
        <v>6068.6996500000005</v>
      </c>
      <c r="AD96" s="6">
        <f>$O$96*$X$96</f>
        <v>3912.13121</v>
      </c>
      <c r="AE96" s="6">
        <f>$K$96*$Y$96</f>
        <v>0</v>
      </c>
      <c r="AF96" s="6">
        <f ca="1">$M$96*$Z$96</f>
        <v>7665.1791012422837</v>
      </c>
      <c r="AG96" s="6">
        <f>$O$96*$AA$96</f>
        <v>3029.2358691553932</v>
      </c>
    </row>
    <row r="97" spans="1:33" ht="11.25" customHeight="1" x14ac:dyDescent="0.25">
      <c r="A97" s="4" t="s">
        <v>21</v>
      </c>
      <c r="B97" s="4" t="s">
        <v>28</v>
      </c>
      <c r="C97" s="4" t="s">
        <v>23</v>
      </c>
      <c r="D97" s="4" t="s">
        <v>30</v>
      </c>
      <c r="E97" s="4" t="s">
        <v>25</v>
      </c>
      <c r="F97" s="4" t="s">
        <v>25</v>
      </c>
      <c r="G97" s="4" t="s">
        <v>25</v>
      </c>
      <c r="H97" s="4" t="s">
        <v>25</v>
      </c>
      <c r="I97" s="5">
        <v>44593</v>
      </c>
      <c r="J97" s="6">
        <v>0</v>
      </c>
      <c r="K97" s="6">
        <v>0</v>
      </c>
      <c r="L97" s="6">
        <v>114.036</v>
      </c>
      <c r="M97" s="6">
        <v>114.036</v>
      </c>
      <c r="N97" s="6">
        <v>114.036</v>
      </c>
      <c r="O97" s="6">
        <v>114.036</v>
      </c>
      <c r="P97" s="6">
        <v>198</v>
      </c>
      <c r="Q97" s="4" t="s">
        <v>26</v>
      </c>
      <c r="R97" s="4">
        <v>0</v>
      </c>
      <c r="S97" s="6">
        <v>0</v>
      </c>
      <c r="T97" s="6">
        <v>42</v>
      </c>
      <c r="U97" s="6">
        <v>50</v>
      </c>
      <c r="V97" s="6">
        <f>IF(ISERROR(VLOOKUP($S$97,'TAR FIN'!$A$1:$O$73,15,0)),0,VLOOKUP($S$97,'TAR FIN'!$A$1:$O$73,15,0))</f>
        <v>0</v>
      </c>
      <c r="W97" s="6">
        <f>IF(ISERROR(VLOOKUP($T$97,'TAR FIN'!$A$1:$O$73,15,0)),0,VLOOKUP($T$97,'TAR FIN'!$A$1:$O$73,15,0))</f>
        <v>384.85</v>
      </c>
      <c r="X97" s="6">
        <f>IF(ISERROR(VLOOKUP($U$97,'TAR FIN'!$A$1:$O$73,15,0)),0,VLOOKUP($U$97,'TAR FIN'!$A$1:$O$73,15,0))</f>
        <v>248.09</v>
      </c>
      <c r="Y97" s="6"/>
      <c r="Z97" s="6">
        <f ca="1">('TUSD BE'!$AM$48+'TUSD BF'!$AM$48+'TUSD CVA'!$AM$48)*1</f>
        <v>486.0916419076849</v>
      </c>
      <c r="AA97" s="6">
        <f>('TE BE'!$AB$38+'TE BF'!$AB$38+'TE CVA'!$AB$38)*1</f>
        <v>192.10069561515587</v>
      </c>
      <c r="AB97" s="6">
        <f>$K$97*$V$97</f>
        <v>0</v>
      </c>
      <c r="AC97" s="6">
        <f>$M$97*$W$97</f>
        <v>43886.7546</v>
      </c>
      <c r="AD97" s="6">
        <f>$O$97*$X$97</f>
        <v>28291.19124</v>
      </c>
      <c r="AE97" s="6">
        <f>$K$97*$Y$97</f>
        <v>0</v>
      </c>
      <c r="AF97" s="6">
        <f ca="1">$M$97*$Z$97</f>
        <v>55431.946476584759</v>
      </c>
      <c r="AG97" s="6">
        <f>$O$97*$AA$97</f>
        <v>21906.394925169916</v>
      </c>
    </row>
    <row r="98" spans="1:33" ht="11.25" customHeight="1" x14ac:dyDescent="0.25">
      <c r="A98" s="4" t="s">
        <v>27</v>
      </c>
      <c r="B98" s="4" t="s">
        <v>28</v>
      </c>
      <c r="C98" s="4" t="s">
        <v>23</v>
      </c>
      <c r="D98" s="4" t="s">
        <v>30</v>
      </c>
      <c r="E98" s="4" t="s">
        <v>25</v>
      </c>
      <c r="F98" s="4" t="s">
        <v>25</v>
      </c>
      <c r="G98" s="4" t="s">
        <v>25</v>
      </c>
      <c r="H98" s="4" t="s">
        <v>25</v>
      </c>
      <c r="I98" s="5">
        <v>44593</v>
      </c>
      <c r="J98" s="6">
        <v>0</v>
      </c>
      <c r="K98" s="6">
        <v>0</v>
      </c>
      <c r="L98" s="6">
        <v>15.666</v>
      </c>
      <c r="M98" s="6">
        <v>15.666</v>
      </c>
      <c r="N98" s="6">
        <v>15.666</v>
      </c>
      <c r="O98" s="6">
        <v>15.666</v>
      </c>
      <c r="P98" s="6">
        <v>14</v>
      </c>
      <c r="Q98" s="4" t="s">
        <v>26</v>
      </c>
      <c r="R98" s="4">
        <v>0</v>
      </c>
      <c r="S98" s="6">
        <v>0</v>
      </c>
      <c r="T98" s="6">
        <v>42</v>
      </c>
      <c r="U98" s="6">
        <v>50</v>
      </c>
      <c r="V98" s="6">
        <f>IF(ISERROR(VLOOKUP($S$98,'TAR FIN'!$A$1:$O$73,15,0)),0,VLOOKUP($S$98,'TAR FIN'!$A$1:$O$73,15,0))</f>
        <v>0</v>
      </c>
      <c r="W98" s="6">
        <f>IF(ISERROR(VLOOKUP($T$98,'TAR FIN'!$A$1:$O$73,15,0)),0,VLOOKUP($T$98,'TAR FIN'!$A$1:$O$73,15,0))</f>
        <v>384.85</v>
      </c>
      <c r="X98" s="6">
        <f>IF(ISERROR(VLOOKUP($U$98,'TAR FIN'!$A$1:$O$73,15,0)),0,VLOOKUP($U$98,'TAR FIN'!$A$1:$O$73,15,0))</f>
        <v>248.09</v>
      </c>
      <c r="Y98" s="6"/>
      <c r="Z98" s="6">
        <f ca="1">('TUSD BE'!$AM$48+'TUSD BF'!$AM$48+'TUSD CVA'!$AM$48)*1</f>
        <v>486.0916419076849</v>
      </c>
      <c r="AA98" s="6">
        <f>('TE BE'!$AB$38+'TE BF'!$AB$38+'TE CVA'!$AB$38)*1</f>
        <v>192.10069561515587</v>
      </c>
      <c r="AB98" s="6">
        <f>$K$98*$V$98</f>
        <v>0</v>
      </c>
      <c r="AC98" s="6">
        <f>$M$98*$W$98</f>
        <v>6029.0601000000006</v>
      </c>
      <c r="AD98" s="6">
        <f>$O$98*$X$98</f>
        <v>3886.5779400000001</v>
      </c>
      <c r="AE98" s="6">
        <f>$K$98*$Y$98</f>
        <v>0</v>
      </c>
      <c r="AF98" s="6">
        <f ca="1">$M$98*$Z$98</f>
        <v>7615.1116621257916</v>
      </c>
      <c r="AG98" s="6">
        <f>$O$98*$AA$98</f>
        <v>3009.449497507032</v>
      </c>
    </row>
    <row r="99" spans="1:33" ht="11.25" customHeight="1" x14ac:dyDescent="0.25">
      <c r="A99" s="4" t="s">
        <v>21</v>
      </c>
      <c r="B99" s="4" t="s">
        <v>28</v>
      </c>
      <c r="C99" s="4" t="s">
        <v>23</v>
      </c>
      <c r="D99" s="4" t="s">
        <v>30</v>
      </c>
      <c r="E99" s="4" t="s">
        <v>25</v>
      </c>
      <c r="F99" s="4" t="s">
        <v>25</v>
      </c>
      <c r="G99" s="4" t="s">
        <v>25</v>
      </c>
      <c r="H99" s="4" t="s">
        <v>25</v>
      </c>
      <c r="I99" s="5">
        <v>44621</v>
      </c>
      <c r="J99" s="6">
        <v>0</v>
      </c>
      <c r="K99" s="6">
        <v>0</v>
      </c>
      <c r="L99" s="6">
        <v>113.01900000000001</v>
      </c>
      <c r="M99" s="6">
        <v>113.01900000000001</v>
      </c>
      <c r="N99" s="6">
        <v>113.01900000000001</v>
      </c>
      <c r="O99" s="6">
        <v>113.01900000000001</v>
      </c>
      <c r="P99" s="6">
        <v>196</v>
      </c>
      <c r="Q99" s="4" t="s">
        <v>26</v>
      </c>
      <c r="R99" s="4">
        <v>0</v>
      </c>
      <c r="S99" s="6">
        <v>0</v>
      </c>
      <c r="T99" s="6">
        <v>42</v>
      </c>
      <c r="U99" s="6">
        <v>50</v>
      </c>
      <c r="V99" s="6">
        <f>IF(ISERROR(VLOOKUP($S$99,'TAR FIN'!$A$1:$O$73,15,0)),0,VLOOKUP($S$99,'TAR FIN'!$A$1:$O$73,15,0))</f>
        <v>0</v>
      </c>
      <c r="W99" s="6">
        <f>IF(ISERROR(VLOOKUP($T$99,'TAR FIN'!$A$1:$O$73,15,0)),0,VLOOKUP($T$99,'TAR FIN'!$A$1:$O$73,15,0))</f>
        <v>384.85</v>
      </c>
      <c r="X99" s="6">
        <f>IF(ISERROR(VLOOKUP($U$99,'TAR FIN'!$A$1:$O$73,15,0)),0,VLOOKUP($U$99,'TAR FIN'!$A$1:$O$73,15,0))</f>
        <v>248.09</v>
      </c>
      <c r="Y99" s="6"/>
      <c r="Z99" s="6">
        <f ca="1">('TUSD BE'!$AM$48+'TUSD BF'!$AM$48+'TUSD CVA'!$AM$48)*1</f>
        <v>486.0916419076849</v>
      </c>
      <c r="AA99" s="6">
        <f>('TE BE'!$AB$38+'TE BF'!$AB$38+'TE CVA'!$AB$38)*1</f>
        <v>192.10069561515587</v>
      </c>
      <c r="AB99" s="6">
        <f>$K$99*$V$99</f>
        <v>0</v>
      </c>
      <c r="AC99" s="6">
        <f>$M$99*$W$99</f>
        <v>43495.362150000008</v>
      </c>
      <c r="AD99" s="6">
        <f>$O$99*$X$99</f>
        <v>28038.883710000002</v>
      </c>
      <c r="AE99" s="6">
        <f>$K$99*$Y$99</f>
        <v>0</v>
      </c>
      <c r="AF99" s="6">
        <f ca="1">$M$99*$Z$99</f>
        <v>54937.591276764644</v>
      </c>
      <c r="AG99" s="6">
        <f>$O$99*$AA$99</f>
        <v>21711.028517729301</v>
      </c>
    </row>
    <row r="100" spans="1:33" ht="11.25" customHeight="1" x14ac:dyDescent="0.25">
      <c r="A100" s="4" t="s">
        <v>27</v>
      </c>
      <c r="B100" s="4" t="s">
        <v>28</v>
      </c>
      <c r="C100" s="4" t="s">
        <v>23</v>
      </c>
      <c r="D100" s="4" t="s">
        <v>30</v>
      </c>
      <c r="E100" s="4" t="s">
        <v>25</v>
      </c>
      <c r="F100" s="4" t="s">
        <v>25</v>
      </c>
      <c r="G100" s="4" t="s">
        <v>25</v>
      </c>
      <c r="H100" s="4" t="s">
        <v>25</v>
      </c>
      <c r="I100" s="5">
        <v>44621</v>
      </c>
      <c r="J100" s="6">
        <v>0</v>
      </c>
      <c r="K100" s="6">
        <v>0</v>
      </c>
      <c r="L100" s="6">
        <v>16.754999999999999</v>
      </c>
      <c r="M100" s="6">
        <v>16.754999999999999</v>
      </c>
      <c r="N100" s="6">
        <v>16.754999999999999</v>
      </c>
      <c r="O100" s="6">
        <v>16.754999999999999</v>
      </c>
      <c r="P100" s="6">
        <v>14</v>
      </c>
      <c r="Q100" s="4" t="s">
        <v>26</v>
      </c>
      <c r="R100" s="4">
        <v>0</v>
      </c>
      <c r="S100" s="6">
        <v>0</v>
      </c>
      <c r="T100" s="6">
        <v>42</v>
      </c>
      <c r="U100" s="6">
        <v>50</v>
      </c>
      <c r="V100" s="6">
        <f>IF(ISERROR(VLOOKUP($S$100,'TAR FIN'!$A$1:$O$73,15,0)),0,VLOOKUP($S$100,'TAR FIN'!$A$1:$O$73,15,0))</f>
        <v>0</v>
      </c>
      <c r="W100" s="6">
        <f>IF(ISERROR(VLOOKUP($T$100,'TAR FIN'!$A$1:$O$73,15,0)),0,VLOOKUP($T$100,'TAR FIN'!$A$1:$O$73,15,0))</f>
        <v>384.85</v>
      </c>
      <c r="X100" s="6">
        <f>IF(ISERROR(VLOOKUP($U$100,'TAR FIN'!$A$1:$O$73,15,0)),0,VLOOKUP($U$100,'TAR FIN'!$A$1:$O$73,15,0))</f>
        <v>248.09</v>
      </c>
      <c r="Y100" s="6"/>
      <c r="Z100" s="6">
        <f ca="1">('TUSD BE'!$AM$48+'TUSD BF'!$AM$48+'TUSD CVA'!$AM$48)*1</f>
        <v>486.0916419076849</v>
      </c>
      <c r="AA100" s="6">
        <f>('TE BE'!$AB$38+'TE BF'!$AB$38+'TE CVA'!$AB$38)*1</f>
        <v>192.10069561515587</v>
      </c>
      <c r="AB100" s="6">
        <f>$K$100*$V$100</f>
        <v>0</v>
      </c>
      <c r="AC100" s="6">
        <f>$M$100*$W$100</f>
        <v>6448.1617500000002</v>
      </c>
      <c r="AD100" s="6">
        <f>$O$100*$X$100</f>
        <v>4156.7479499999999</v>
      </c>
      <c r="AE100" s="6">
        <f>$K$100*$Y$100</f>
        <v>0</v>
      </c>
      <c r="AF100" s="6">
        <f ca="1">$M$100*$Z$100</f>
        <v>8144.4654601632601</v>
      </c>
      <c r="AG100" s="6">
        <f>$O$100*$AA$100</f>
        <v>3218.6471550319366</v>
      </c>
    </row>
    <row r="101" spans="1:33" ht="11.25" customHeight="1" x14ac:dyDescent="0.25">
      <c r="A101" s="4" t="s">
        <v>21</v>
      </c>
      <c r="B101" s="4" t="s">
        <v>28</v>
      </c>
      <c r="C101" s="4" t="s">
        <v>23</v>
      </c>
      <c r="D101" s="4" t="s">
        <v>30</v>
      </c>
      <c r="E101" s="4" t="s">
        <v>25</v>
      </c>
      <c r="F101" s="4" t="s">
        <v>25</v>
      </c>
      <c r="G101" s="4" t="s">
        <v>25</v>
      </c>
      <c r="H101" s="4" t="s">
        <v>25</v>
      </c>
      <c r="I101" s="5">
        <v>44652</v>
      </c>
      <c r="J101" s="6">
        <v>0</v>
      </c>
      <c r="K101" s="6">
        <v>0</v>
      </c>
      <c r="L101" s="6">
        <v>108.592</v>
      </c>
      <c r="M101" s="6">
        <v>108.592</v>
      </c>
      <c r="N101" s="6">
        <v>108.592</v>
      </c>
      <c r="O101" s="6">
        <v>108.592</v>
      </c>
      <c r="P101" s="6">
        <v>196</v>
      </c>
      <c r="Q101" s="4" t="s">
        <v>26</v>
      </c>
      <c r="R101" s="4">
        <v>0</v>
      </c>
      <c r="S101" s="6">
        <v>0</v>
      </c>
      <c r="T101" s="6">
        <v>42</v>
      </c>
      <c r="U101" s="6">
        <v>50</v>
      </c>
      <c r="V101" s="6">
        <f>IF(ISERROR(VLOOKUP($S$101,'TAR FIN'!$A$1:$O$73,15,0)),0,VLOOKUP($S$101,'TAR FIN'!$A$1:$O$73,15,0))</f>
        <v>0</v>
      </c>
      <c r="W101" s="6">
        <f>IF(ISERROR(VLOOKUP($T$101,'TAR FIN'!$A$1:$O$73,15,0)),0,VLOOKUP($T$101,'TAR FIN'!$A$1:$O$73,15,0))</f>
        <v>384.85</v>
      </c>
      <c r="X101" s="6">
        <f>IF(ISERROR(VLOOKUP($U$101,'TAR FIN'!$A$1:$O$73,15,0)),0,VLOOKUP($U$101,'TAR FIN'!$A$1:$O$73,15,0))</f>
        <v>248.09</v>
      </c>
      <c r="Y101" s="6"/>
      <c r="Z101" s="6">
        <f ca="1">('TUSD BE'!$AM$48+'TUSD BF'!$AM$48+'TUSD CVA'!$AM$48)*1</f>
        <v>486.0916419076849</v>
      </c>
      <c r="AA101" s="6">
        <f>('TE BE'!$AB$38+'TE BF'!$AB$38+'TE CVA'!$AB$38)*1</f>
        <v>192.10069561515587</v>
      </c>
      <c r="AB101" s="6">
        <f>$K$101*$V$101</f>
        <v>0</v>
      </c>
      <c r="AC101" s="6">
        <f>$M$101*$W$101</f>
        <v>41791.631200000003</v>
      </c>
      <c r="AD101" s="6">
        <f>$O$101*$X$101</f>
        <v>26940.58928</v>
      </c>
      <c r="AE101" s="6">
        <f>$K$101*$Y$101</f>
        <v>0</v>
      </c>
      <c r="AF101" s="6">
        <f ca="1">$M$101*$Z$101</f>
        <v>52785.663578039319</v>
      </c>
      <c r="AG101" s="6">
        <f>$O$101*$AA$101</f>
        <v>20860.598738241006</v>
      </c>
    </row>
    <row r="102" spans="1:33" ht="11.25" customHeight="1" x14ac:dyDescent="0.25">
      <c r="A102" s="4" t="s">
        <v>27</v>
      </c>
      <c r="B102" s="4" t="s">
        <v>28</v>
      </c>
      <c r="C102" s="4" t="s">
        <v>23</v>
      </c>
      <c r="D102" s="4" t="s">
        <v>30</v>
      </c>
      <c r="E102" s="4" t="s">
        <v>25</v>
      </c>
      <c r="F102" s="4" t="s">
        <v>25</v>
      </c>
      <c r="G102" s="4" t="s">
        <v>25</v>
      </c>
      <c r="H102" s="4" t="s">
        <v>25</v>
      </c>
      <c r="I102" s="5">
        <v>44652</v>
      </c>
      <c r="J102" s="6">
        <v>0</v>
      </c>
      <c r="K102" s="6">
        <v>0</v>
      </c>
      <c r="L102" s="6">
        <v>12.262</v>
      </c>
      <c r="M102" s="6">
        <v>12.262</v>
      </c>
      <c r="N102" s="6">
        <v>12.262</v>
      </c>
      <c r="O102" s="6">
        <v>12.262</v>
      </c>
      <c r="P102" s="6">
        <v>14</v>
      </c>
      <c r="Q102" s="4" t="s">
        <v>26</v>
      </c>
      <c r="R102" s="4">
        <v>0</v>
      </c>
      <c r="S102" s="6">
        <v>0</v>
      </c>
      <c r="T102" s="6">
        <v>42</v>
      </c>
      <c r="U102" s="6">
        <v>50</v>
      </c>
      <c r="V102" s="6">
        <f>IF(ISERROR(VLOOKUP($S$102,'TAR FIN'!$A$1:$O$73,15,0)),0,VLOOKUP($S$102,'TAR FIN'!$A$1:$O$73,15,0))</f>
        <v>0</v>
      </c>
      <c r="W102" s="6">
        <f>IF(ISERROR(VLOOKUP($T$102,'TAR FIN'!$A$1:$O$73,15,0)),0,VLOOKUP($T$102,'TAR FIN'!$A$1:$O$73,15,0))</f>
        <v>384.85</v>
      </c>
      <c r="X102" s="6">
        <f>IF(ISERROR(VLOOKUP($U$102,'TAR FIN'!$A$1:$O$73,15,0)),0,VLOOKUP($U$102,'TAR FIN'!$A$1:$O$73,15,0))</f>
        <v>248.09</v>
      </c>
      <c r="Y102" s="6"/>
      <c r="Z102" s="6">
        <f ca="1">('TUSD BE'!$AM$48+'TUSD BF'!$AM$48+'TUSD CVA'!$AM$48)*1</f>
        <v>486.0916419076849</v>
      </c>
      <c r="AA102" s="6">
        <f>('TE BE'!$AB$38+'TE BF'!$AB$38+'TE CVA'!$AB$38)*1</f>
        <v>192.10069561515587</v>
      </c>
      <c r="AB102" s="6">
        <f>$K$102*$V$102</f>
        <v>0</v>
      </c>
      <c r="AC102" s="6">
        <f>$M$102*$W$102</f>
        <v>4719.0307000000003</v>
      </c>
      <c r="AD102" s="6">
        <f>$O$102*$X$102</f>
        <v>3042.0795800000001</v>
      </c>
      <c r="AE102" s="6">
        <f>$K$102*$Y$102</f>
        <v>0</v>
      </c>
      <c r="AF102" s="6">
        <f ca="1">$M$102*$Z$102</f>
        <v>5960.4557130720323</v>
      </c>
      <c r="AG102" s="6">
        <f>$O$102*$AA$102</f>
        <v>2355.5387296330414</v>
      </c>
    </row>
    <row r="103" spans="1:33" ht="11.25" customHeight="1" x14ac:dyDescent="0.25">
      <c r="A103" s="4" t="s">
        <v>21</v>
      </c>
      <c r="B103" s="4" t="s">
        <v>28</v>
      </c>
      <c r="C103" s="4" t="s">
        <v>23</v>
      </c>
      <c r="D103" s="4" t="s">
        <v>30</v>
      </c>
      <c r="E103" s="4" t="s">
        <v>25</v>
      </c>
      <c r="F103" s="4" t="s">
        <v>25</v>
      </c>
      <c r="G103" s="4" t="s">
        <v>25</v>
      </c>
      <c r="H103" s="4" t="s">
        <v>25</v>
      </c>
      <c r="I103" s="5">
        <v>44682</v>
      </c>
      <c r="J103" s="6">
        <v>0</v>
      </c>
      <c r="K103" s="6">
        <v>0</v>
      </c>
      <c r="L103" s="6">
        <v>103.051</v>
      </c>
      <c r="M103" s="6">
        <v>103.051</v>
      </c>
      <c r="N103" s="6">
        <v>103.051</v>
      </c>
      <c r="O103" s="6">
        <v>103.051</v>
      </c>
      <c r="P103" s="6">
        <v>195</v>
      </c>
      <c r="Q103" s="4" t="s">
        <v>26</v>
      </c>
      <c r="R103" s="4">
        <v>0</v>
      </c>
      <c r="S103" s="6">
        <v>0</v>
      </c>
      <c r="T103" s="6">
        <v>42</v>
      </c>
      <c r="U103" s="6">
        <v>50</v>
      </c>
      <c r="V103" s="6">
        <f>IF(ISERROR(VLOOKUP($S$103,'TAR FIN'!$A$1:$O$73,15,0)),0,VLOOKUP($S$103,'TAR FIN'!$A$1:$O$73,15,0))</f>
        <v>0</v>
      </c>
      <c r="W103" s="6">
        <f>IF(ISERROR(VLOOKUP($T$103,'TAR FIN'!$A$1:$O$73,15,0)),0,VLOOKUP($T$103,'TAR FIN'!$A$1:$O$73,15,0))</f>
        <v>384.85</v>
      </c>
      <c r="X103" s="6">
        <f>IF(ISERROR(VLOOKUP($U$103,'TAR FIN'!$A$1:$O$73,15,0)),0,VLOOKUP($U$103,'TAR FIN'!$A$1:$O$73,15,0))</f>
        <v>248.09</v>
      </c>
      <c r="Y103" s="6"/>
      <c r="Z103" s="6">
        <f ca="1">('TUSD BE'!$AM$48+'TUSD BF'!$AM$48+'TUSD CVA'!$AM$48)*1</f>
        <v>486.0916419076849</v>
      </c>
      <c r="AA103" s="6">
        <f>('TE BE'!$AB$38+'TE BF'!$AB$38+'TE CVA'!$AB$38)*1</f>
        <v>192.10069561515587</v>
      </c>
      <c r="AB103" s="6">
        <f>$K$103*$V$103</f>
        <v>0</v>
      </c>
      <c r="AC103" s="6">
        <f>$M$103*$W$103</f>
        <v>39659.177350000005</v>
      </c>
      <c r="AD103" s="6">
        <f>$O$103*$X$103</f>
        <v>25565.922590000002</v>
      </c>
      <c r="AE103" s="6">
        <f>$K$103*$Y$103</f>
        <v>0</v>
      </c>
      <c r="AF103" s="6">
        <f ca="1">$M$103*$Z$103</f>
        <v>50092.229790228841</v>
      </c>
      <c r="AG103" s="6">
        <f>$O$103*$AA$103</f>
        <v>19796.168783837427</v>
      </c>
    </row>
    <row r="104" spans="1:33" ht="11.25" customHeight="1" x14ac:dyDescent="0.25">
      <c r="A104" s="4" t="s">
        <v>27</v>
      </c>
      <c r="B104" s="4" t="s">
        <v>28</v>
      </c>
      <c r="C104" s="4" t="s">
        <v>23</v>
      </c>
      <c r="D104" s="4" t="s">
        <v>30</v>
      </c>
      <c r="E104" s="4" t="s">
        <v>25</v>
      </c>
      <c r="F104" s="4" t="s">
        <v>25</v>
      </c>
      <c r="G104" s="4" t="s">
        <v>25</v>
      </c>
      <c r="H104" s="4" t="s">
        <v>25</v>
      </c>
      <c r="I104" s="5">
        <v>44682</v>
      </c>
      <c r="J104" s="6">
        <v>0</v>
      </c>
      <c r="K104" s="6">
        <v>0</v>
      </c>
      <c r="L104" s="6">
        <v>10.843999999999999</v>
      </c>
      <c r="M104" s="6">
        <v>10.843999999999999</v>
      </c>
      <c r="N104" s="6">
        <v>10.843999999999999</v>
      </c>
      <c r="O104" s="6">
        <v>10.843999999999999</v>
      </c>
      <c r="P104" s="6">
        <v>15</v>
      </c>
      <c r="Q104" s="4" t="s">
        <v>26</v>
      </c>
      <c r="R104" s="4">
        <v>0</v>
      </c>
      <c r="S104" s="6">
        <v>0</v>
      </c>
      <c r="T104" s="6">
        <v>42</v>
      </c>
      <c r="U104" s="6">
        <v>50</v>
      </c>
      <c r="V104" s="6">
        <f>IF(ISERROR(VLOOKUP($S$104,'TAR FIN'!$A$1:$O$73,15,0)),0,VLOOKUP($S$104,'TAR FIN'!$A$1:$O$73,15,0))</f>
        <v>0</v>
      </c>
      <c r="W104" s="6">
        <f>IF(ISERROR(VLOOKUP($T$104,'TAR FIN'!$A$1:$O$73,15,0)),0,VLOOKUP($T$104,'TAR FIN'!$A$1:$O$73,15,0))</f>
        <v>384.85</v>
      </c>
      <c r="X104" s="6">
        <f>IF(ISERROR(VLOOKUP($U$104,'TAR FIN'!$A$1:$O$73,15,0)),0,VLOOKUP($U$104,'TAR FIN'!$A$1:$O$73,15,0))</f>
        <v>248.09</v>
      </c>
      <c r="Y104" s="6"/>
      <c r="Z104" s="6">
        <f ca="1">('TUSD BE'!$AM$48+'TUSD BF'!$AM$48+'TUSD CVA'!$AM$48)*1</f>
        <v>486.0916419076849</v>
      </c>
      <c r="AA104" s="6">
        <f>('TE BE'!$AB$38+'TE BF'!$AB$38+'TE CVA'!$AB$38)*1</f>
        <v>192.10069561515587</v>
      </c>
      <c r="AB104" s="6">
        <f>$K$104*$V$104</f>
        <v>0</v>
      </c>
      <c r="AC104" s="6">
        <f>$M$104*$W$104</f>
        <v>4173.3134</v>
      </c>
      <c r="AD104" s="6">
        <f>$O$104*$X$104</f>
        <v>2690.2879600000001</v>
      </c>
      <c r="AE104" s="6">
        <f>$K$104*$Y$104</f>
        <v>0</v>
      </c>
      <c r="AF104" s="6">
        <f ca="1">$M$104*$Z$104</f>
        <v>5271.1777648469351</v>
      </c>
      <c r="AG104" s="6">
        <f>$O$104*$AA$104</f>
        <v>2083.1399432507501</v>
      </c>
    </row>
    <row r="105" spans="1:33" ht="11.25" customHeight="1" x14ac:dyDescent="0.25">
      <c r="A105" s="4" t="s">
        <v>21</v>
      </c>
      <c r="B105" s="4" t="s">
        <v>28</v>
      </c>
      <c r="C105" s="4" t="s">
        <v>23</v>
      </c>
      <c r="D105" s="4" t="s">
        <v>30</v>
      </c>
      <c r="E105" s="4" t="s">
        <v>25</v>
      </c>
      <c r="F105" s="4" t="s">
        <v>25</v>
      </c>
      <c r="G105" s="4" t="s">
        <v>25</v>
      </c>
      <c r="H105" s="4" t="s">
        <v>25</v>
      </c>
      <c r="I105" s="5">
        <v>44713</v>
      </c>
      <c r="J105" s="6">
        <v>0</v>
      </c>
      <c r="K105" s="6">
        <v>0</v>
      </c>
      <c r="L105" s="6">
        <v>103.625</v>
      </c>
      <c r="M105" s="6">
        <v>103.625</v>
      </c>
      <c r="N105" s="6">
        <v>103.625</v>
      </c>
      <c r="O105" s="6">
        <v>103.625</v>
      </c>
      <c r="P105" s="6">
        <v>198</v>
      </c>
      <c r="Q105" s="4" t="s">
        <v>26</v>
      </c>
      <c r="R105" s="4">
        <v>0</v>
      </c>
      <c r="S105" s="6">
        <v>0</v>
      </c>
      <c r="T105" s="6">
        <v>42</v>
      </c>
      <c r="U105" s="6">
        <v>50</v>
      </c>
      <c r="V105" s="6">
        <f>IF(ISERROR(VLOOKUP($S$105,'TAR FIN'!$A$1:$O$73,15,0)),0,VLOOKUP($S$105,'TAR FIN'!$A$1:$O$73,15,0))</f>
        <v>0</v>
      </c>
      <c r="W105" s="6">
        <f>IF(ISERROR(VLOOKUP($T$105,'TAR FIN'!$A$1:$O$73,15,0)),0,VLOOKUP($T$105,'TAR FIN'!$A$1:$O$73,15,0))</f>
        <v>384.85</v>
      </c>
      <c r="X105" s="6">
        <f>IF(ISERROR(VLOOKUP($U$105,'TAR FIN'!$A$1:$O$73,15,0)),0,VLOOKUP($U$105,'TAR FIN'!$A$1:$O$73,15,0))</f>
        <v>248.09</v>
      </c>
      <c r="Y105" s="6"/>
      <c r="Z105" s="6">
        <f ca="1">('TUSD BE'!$AM$48+'TUSD BF'!$AM$48+'TUSD CVA'!$AM$48)*1</f>
        <v>486.0916419076849</v>
      </c>
      <c r="AA105" s="6">
        <f>('TE BE'!$AB$38+'TE BF'!$AB$38+'TE CVA'!$AB$38)*1</f>
        <v>192.10069561515587</v>
      </c>
      <c r="AB105" s="6">
        <f>$K$105*$V$105</f>
        <v>0</v>
      </c>
      <c r="AC105" s="6">
        <f>$M$105*$W$105</f>
        <v>39880.081250000003</v>
      </c>
      <c r="AD105" s="6">
        <f>$O$105*$X$105</f>
        <v>25708.326250000002</v>
      </c>
      <c r="AE105" s="6">
        <f>$K$105*$Y$105</f>
        <v>0</v>
      </c>
      <c r="AF105" s="6">
        <f ca="1">$M$105*$Z$105</f>
        <v>50371.246392683846</v>
      </c>
      <c r="AG105" s="6">
        <f>$O$105*$AA$105</f>
        <v>19906.434583120528</v>
      </c>
    </row>
    <row r="106" spans="1:33" ht="11.25" customHeight="1" x14ac:dyDescent="0.25">
      <c r="A106" s="4" t="s">
        <v>27</v>
      </c>
      <c r="B106" s="4" t="s">
        <v>28</v>
      </c>
      <c r="C106" s="4" t="s">
        <v>23</v>
      </c>
      <c r="D106" s="4" t="s">
        <v>30</v>
      </c>
      <c r="E106" s="4" t="s">
        <v>25</v>
      </c>
      <c r="F106" s="4" t="s">
        <v>25</v>
      </c>
      <c r="G106" s="4" t="s">
        <v>25</v>
      </c>
      <c r="H106" s="4" t="s">
        <v>25</v>
      </c>
      <c r="I106" s="5">
        <v>44713</v>
      </c>
      <c r="J106" s="6">
        <v>0</v>
      </c>
      <c r="K106" s="6">
        <v>0</v>
      </c>
      <c r="L106" s="6">
        <v>9.2810000000000006</v>
      </c>
      <c r="M106" s="6">
        <v>9.2810000000000006</v>
      </c>
      <c r="N106" s="6">
        <v>9.2810000000000006</v>
      </c>
      <c r="O106" s="6">
        <v>9.2810000000000006</v>
      </c>
      <c r="P106" s="6">
        <v>15</v>
      </c>
      <c r="Q106" s="4" t="s">
        <v>26</v>
      </c>
      <c r="R106" s="4">
        <v>0</v>
      </c>
      <c r="S106" s="6">
        <v>0</v>
      </c>
      <c r="T106" s="6">
        <v>42</v>
      </c>
      <c r="U106" s="6">
        <v>50</v>
      </c>
      <c r="V106" s="6">
        <f>IF(ISERROR(VLOOKUP($S$106,'TAR FIN'!$A$1:$O$73,15,0)),0,VLOOKUP($S$106,'TAR FIN'!$A$1:$O$73,15,0))</f>
        <v>0</v>
      </c>
      <c r="W106" s="6">
        <f>IF(ISERROR(VLOOKUP($T$106,'TAR FIN'!$A$1:$O$73,15,0)),0,VLOOKUP($T$106,'TAR FIN'!$A$1:$O$73,15,0))</f>
        <v>384.85</v>
      </c>
      <c r="X106" s="6">
        <f>IF(ISERROR(VLOOKUP($U$106,'TAR FIN'!$A$1:$O$73,15,0)),0,VLOOKUP($U$106,'TAR FIN'!$A$1:$O$73,15,0))</f>
        <v>248.09</v>
      </c>
      <c r="Y106" s="6"/>
      <c r="Z106" s="6">
        <f ca="1">('TUSD BE'!$AM$48+'TUSD BF'!$AM$48+'TUSD CVA'!$AM$48)*1</f>
        <v>486.0916419076849</v>
      </c>
      <c r="AA106" s="6">
        <f>('TE BE'!$AB$38+'TE BF'!$AB$38+'TE CVA'!$AB$38)*1</f>
        <v>192.10069561515587</v>
      </c>
      <c r="AB106" s="6">
        <f>$K$106*$V$106</f>
        <v>0</v>
      </c>
      <c r="AC106" s="6">
        <f>$M$106*$W$106</f>
        <v>3571.7928500000003</v>
      </c>
      <c r="AD106" s="6">
        <f>$O$106*$X$106</f>
        <v>2302.5232900000001</v>
      </c>
      <c r="AE106" s="6">
        <f>$K$106*$Y$106</f>
        <v>0</v>
      </c>
      <c r="AF106" s="6">
        <f ca="1">$M$106*$Z$106</f>
        <v>4511.4165285452236</v>
      </c>
      <c r="AG106" s="6">
        <f>$O$106*$AA$106</f>
        <v>1782.8865560042618</v>
      </c>
    </row>
    <row r="107" spans="1:33" ht="11.25" customHeight="1" x14ac:dyDescent="0.25">
      <c r="A107" s="4" t="s">
        <v>21</v>
      </c>
      <c r="B107" s="4" t="s">
        <v>28</v>
      </c>
      <c r="C107" s="4" t="s">
        <v>23</v>
      </c>
      <c r="D107" s="4" t="s">
        <v>30</v>
      </c>
      <c r="E107" s="4" t="s">
        <v>25</v>
      </c>
      <c r="F107" s="4" t="s">
        <v>25</v>
      </c>
      <c r="G107" s="4" t="s">
        <v>25</v>
      </c>
      <c r="H107" s="4" t="s">
        <v>25</v>
      </c>
      <c r="I107" s="5">
        <v>44743</v>
      </c>
      <c r="J107" s="6">
        <v>0</v>
      </c>
      <c r="K107" s="6">
        <v>0</v>
      </c>
      <c r="L107" s="6">
        <v>97.531000000000006</v>
      </c>
      <c r="M107" s="6">
        <v>97.531000000000006</v>
      </c>
      <c r="N107" s="6">
        <v>97.531000000000006</v>
      </c>
      <c r="O107" s="6">
        <v>97.531000000000006</v>
      </c>
      <c r="P107" s="6">
        <v>198</v>
      </c>
      <c r="Q107" s="4" t="s">
        <v>26</v>
      </c>
      <c r="R107" s="4">
        <v>0</v>
      </c>
      <c r="S107" s="6">
        <v>0</v>
      </c>
      <c r="T107" s="6">
        <v>42</v>
      </c>
      <c r="U107" s="6">
        <v>50</v>
      </c>
      <c r="V107" s="6">
        <f>IF(ISERROR(VLOOKUP($S$107,'TAR FIN'!$A$1:$O$73,15,0)),0,VLOOKUP($S$107,'TAR FIN'!$A$1:$O$73,15,0))</f>
        <v>0</v>
      </c>
      <c r="W107" s="6">
        <f>IF(ISERROR(VLOOKUP($T$107,'TAR FIN'!$A$1:$O$73,15,0)),0,VLOOKUP($T$107,'TAR FIN'!$A$1:$O$73,15,0))</f>
        <v>384.85</v>
      </c>
      <c r="X107" s="6">
        <f>IF(ISERROR(VLOOKUP($U$107,'TAR FIN'!$A$1:$O$73,15,0)),0,VLOOKUP($U$107,'TAR FIN'!$A$1:$O$73,15,0))</f>
        <v>248.09</v>
      </c>
      <c r="Y107" s="6"/>
      <c r="Z107" s="6">
        <f ca="1">('TUSD BE'!$AM$48+'TUSD BF'!$AM$48+'TUSD CVA'!$AM$48)*1</f>
        <v>486.0916419076849</v>
      </c>
      <c r="AA107" s="6">
        <f>('TE BE'!$AB$38+'TE BF'!$AB$38+'TE CVA'!$AB$38)*1</f>
        <v>192.10069561515587</v>
      </c>
      <c r="AB107" s="6">
        <f>$K$107*$V$107</f>
        <v>0</v>
      </c>
      <c r="AC107" s="6">
        <f>$M$107*$W$107</f>
        <v>37534.805350000002</v>
      </c>
      <c r="AD107" s="6">
        <f>$O$107*$X$107</f>
        <v>24196.465790000002</v>
      </c>
      <c r="AE107" s="6">
        <f>$K$107*$Y$107</f>
        <v>0</v>
      </c>
      <c r="AF107" s="6">
        <f ca="1">$M$107*$Z$107</f>
        <v>47409.003926898418</v>
      </c>
      <c r="AG107" s="6">
        <f>$O$107*$AA$107</f>
        <v>18735.772944041768</v>
      </c>
    </row>
    <row r="108" spans="1:33" ht="11.25" customHeight="1" x14ac:dyDescent="0.25">
      <c r="A108" s="4" t="s">
        <v>27</v>
      </c>
      <c r="B108" s="4" t="s">
        <v>28</v>
      </c>
      <c r="C108" s="4" t="s">
        <v>23</v>
      </c>
      <c r="D108" s="4" t="s">
        <v>30</v>
      </c>
      <c r="E108" s="4" t="s">
        <v>25</v>
      </c>
      <c r="F108" s="4" t="s">
        <v>25</v>
      </c>
      <c r="G108" s="4" t="s">
        <v>25</v>
      </c>
      <c r="H108" s="4" t="s">
        <v>25</v>
      </c>
      <c r="I108" s="5">
        <v>44743</v>
      </c>
      <c r="J108" s="6">
        <v>0</v>
      </c>
      <c r="K108" s="6">
        <v>0</v>
      </c>
      <c r="L108" s="6">
        <v>8.7059999999999995</v>
      </c>
      <c r="M108" s="6">
        <v>8.7059999999999995</v>
      </c>
      <c r="N108" s="6">
        <v>8.7059999999999995</v>
      </c>
      <c r="O108" s="6">
        <v>8.7059999999999995</v>
      </c>
      <c r="P108" s="6">
        <v>15</v>
      </c>
      <c r="Q108" s="4" t="s">
        <v>26</v>
      </c>
      <c r="R108" s="4">
        <v>0</v>
      </c>
      <c r="S108" s="6">
        <v>0</v>
      </c>
      <c r="T108" s="6">
        <v>42</v>
      </c>
      <c r="U108" s="6">
        <v>50</v>
      </c>
      <c r="V108" s="6">
        <f>IF(ISERROR(VLOOKUP($S$108,'TAR FIN'!$A$1:$O$73,15,0)),0,VLOOKUP($S$108,'TAR FIN'!$A$1:$O$73,15,0))</f>
        <v>0</v>
      </c>
      <c r="W108" s="6">
        <f>IF(ISERROR(VLOOKUP($T$108,'TAR FIN'!$A$1:$O$73,15,0)),0,VLOOKUP($T$108,'TAR FIN'!$A$1:$O$73,15,0))</f>
        <v>384.85</v>
      </c>
      <c r="X108" s="6">
        <f>IF(ISERROR(VLOOKUP($U$108,'TAR FIN'!$A$1:$O$73,15,0)),0,VLOOKUP($U$108,'TAR FIN'!$A$1:$O$73,15,0))</f>
        <v>248.09</v>
      </c>
      <c r="Y108" s="6"/>
      <c r="Z108" s="6">
        <f ca="1">('TUSD BE'!$AM$48+'TUSD BF'!$AM$48+'TUSD CVA'!$AM$48)*1</f>
        <v>486.0916419076849</v>
      </c>
      <c r="AA108" s="6">
        <f>('TE BE'!$AB$38+'TE BF'!$AB$38+'TE CVA'!$AB$38)*1</f>
        <v>192.10069561515587</v>
      </c>
      <c r="AB108" s="6">
        <f>$K$108*$V$108</f>
        <v>0</v>
      </c>
      <c r="AC108" s="6">
        <f>$M$108*$W$108</f>
        <v>3350.5041000000001</v>
      </c>
      <c r="AD108" s="6">
        <f>$O$108*$X$108</f>
        <v>2159.8715400000001</v>
      </c>
      <c r="AE108" s="6">
        <f>$K$108*$Y$108</f>
        <v>0</v>
      </c>
      <c r="AF108" s="6">
        <f ca="1">$M$108*$Z$108</f>
        <v>4231.9138344483044</v>
      </c>
      <c r="AG108" s="6">
        <f>$O$108*$AA$108</f>
        <v>1672.4286560255468</v>
      </c>
    </row>
    <row r="109" spans="1:33" ht="11.25" customHeight="1" x14ac:dyDescent="0.25">
      <c r="A109" s="4" t="s">
        <v>21</v>
      </c>
      <c r="B109" s="4" t="s">
        <v>28</v>
      </c>
      <c r="C109" s="4" t="s">
        <v>23</v>
      </c>
      <c r="D109" s="4" t="s">
        <v>30</v>
      </c>
      <c r="E109" s="4" t="s">
        <v>25</v>
      </c>
      <c r="F109" s="4" t="s">
        <v>25</v>
      </c>
      <c r="G109" s="4" t="s">
        <v>25</v>
      </c>
      <c r="H109" s="4" t="s">
        <v>25</v>
      </c>
      <c r="I109" s="5">
        <v>44774</v>
      </c>
      <c r="J109" s="6">
        <v>0</v>
      </c>
      <c r="K109" s="6">
        <v>0</v>
      </c>
      <c r="L109" s="6">
        <v>101.33</v>
      </c>
      <c r="M109" s="6">
        <v>101.33</v>
      </c>
      <c r="N109" s="6">
        <v>101.33</v>
      </c>
      <c r="O109" s="6">
        <v>101.33</v>
      </c>
      <c r="P109" s="6">
        <v>198</v>
      </c>
      <c r="Q109" s="4" t="s">
        <v>26</v>
      </c>
      <c r="R109" s="4">
        <v>0</v>
      </c>
      <c r="S109" s="6">
        <v>0</v>
      </c>
      <c r="T109" s="6">
        <v>42</v>
      </c>
      <c r="U109" s="6">
        <v>50</v>
      </c>
      <c r="V109" s="6">
        <f>IF(ISERROR(VLOOKUP($S$109,'TAR FIN'!$A$1:$O$73,15,0)),0,VLOOKUP($S$109,'TAR FIN'!$A$1:$O$73,15,0))</f>
        <v>0</v>
      </c>
      <c r="W109" s="6">
        <f>IF(ISERROR(VLOOKUP($T$109,'TAR FIN'!$A$1:$O$73,15,0)),0,VLOOKUP($T$109,'TAR FIN'!$A$1:$O$73,15,0))</f>
        <v>384.85</v>
      </c>
      <c r="X109" s="6">
        <f>IF(ISERROR(VLOOKUP($U$109,'TAR FIN'!$A$1:$O$73,15,0)),0,VLOOKUP($U$109,'TAR FIN'!$A$1:$O$73,15,0))</f>
        <v>248.09</v>
      </c>
      <c r="Y109" s="6"/>
      <c r="Z109" s="6">
        <f ca="1">('TUSD BE'!$AM$48+'TUSD BF'!$AM$48+'TUSD CVA'!$AM$48)*1</f>
        <v>486.0916419076849</v>
      </c>
      <c r="AA109" s="6">
        <f>('TE BE'!$AB$38+'TE BF'!$AB$38+'TE CVA'!$AB$38)*1</f>
        <v>192.10069561515587</v>
      </c>
      <c r="AB109" s="6">
        <f>$K$109*$V$109</f>
        <v>0</v>
      </c>
      <c r="AC109" s="6">
        <f>$M$109*$W$109</f>
        <v>38996.8505</v>
      </c>
      <c r="AD109" s="6">
        <f>$O$109*$X$109</f>
        <v>25138.959699999999</v>
      </c>
      <c r="AE109" s="6">
        <f>$K$109*$Y$109</f>
        <v>0</v>
      </c>
      <c r="AF109" s="6">
        <f ca="1">$M$109*$Z$109</f>
        <v>49255.666074505709</v>
      </c>
      <c r="AG109" s="6">
        <f>$O$109*$AA$109</f>
        <v>19465.563486683743</v>
      </c>
    </row>
    <row r="110" spans="1:33" ht="11.25" customHeight="1" x14ac:dyDescent="0.25">
      <c r="A110" s="4" t="s">
        <v>27</v>
      </c>
      <c r="B110" s="4" t="s">
        <v>28</v>
      </c>
      <c r="C110" s="4" t="s">
        <v>23</v>
      </c>
      <c r="D110" s="4" t="s">
        <v>30</v>
      </c>
      <c r="E110" s="4" t="s">
        <v>25</v>
      </c>
      <c r="F110" s="4" t="s">
        <v>25</v>
      </c>
      <c r="G110" s="4" t="s">
        <v>25</v>
      </c>
      <c r="H110" s="4" t="s">
        <v>25</v>
      </c>
      <c r="I110" s="5">
        <v>44774</v>
      </c>
      <c r="J110" s="6">
        <v>0</v>
      </c>
      <c r="K110" s="6">
        <v>0</v>
      </c>
      <c r="L110" s="6">
        <v>9.4649999999999999</v>
      </c>
      <c r="M110" s="6">
        <v>9.4649999999999999</v>
      </c>
      <c r="N110" s="6">
        <v>9.4649999999999999</v>
      </c>
      <c r="O110" s="6">
        <v>9.4649999999999999</v>
      </c>
      <c r="P110" s="6">
        <v>15</v>
      </c>
      <c r="Q110" s="4" t="s">
        <v>26</v>
      </c>
      <c r="R110" s="4">
        <v>0</v>
      </c>
      <c r="S110" s="6">
        <v>0</v>
      </c>
      <c r="T110" s="6">
        <v>42</v>
      </c>
      <c r="U110" s="6">
        <v>50</v>
      </c>
      <c r="V110" s="6">
        <f>IF(ISERROR(VLOOKUP($S$110,'TAR FIN'!$A$1:$O$73,15,0)),0,VLOOKUP($S$110,'TAR FIN'!$A$1:$O$73,15,0))</f>
        <v>0</v>
      </c>
      <c r="W110" s="6">
        <f>IF(ISERROR(VLOOKUP($T$110,'TAR FIN'!$A$1:$O$73,15,0)),0,VLOOKUP($T$110,'TAR FIN'!$A$1:$O$73,15,0))</f>
        <v>384.85</v>
      </c>
      <c r="X110" s="6">
        <f>IF(ISERROR(VLOOKUP($U$110,'TAR FIN'!$A$1:$O$73,15,0)),0,VLOOKUP($U$110,'TAR FIN'!$A$1:$O$73,15,0))</f>
        <v>248.09</v>
      </c>
      <c r="Y110" s="6"/>
      <c r="Z110" s="6">
        <f ca="1">('TUSD BE'!$AM$48+'TUSD BF'!$AM$48+'TUSD CVA'!$AM$48)*1</f>
        <v>486.0916419076849</v>
      </c>
      <c r="AA110" s="6">
        <f>('TE BE'!$AB$38+'TE BF'!$AB$38+'TE CVA'!$AB$38)*1</f>
        <v>192.10069561515587</v>
      </c>
      <c r="AB110" s="6">
        <f>$K$110*$V$110</f>
        <v>0</v>
      </c>
      <c r="AC110" s="6">
        <f>$M$110*$W$110</f>
        <v>3642.6052500000001</v>
      </c>
      <c r="AD110" s="6">
        <f>$O$110*$X$110</f>
        <v>2348.1718500000002</v>
      </c>
      <c r="AE110" s="6">
        <f>$K$110*$Y$110</f>
        <v>0</v>
      </c>
      <c r="AF110" s="6">
        <f ca="1">$M$110*$Z$110</f>
        <v>4600.8573906562378</v>
      </c>
      <c r="AG110" s="6">
        <f>$O$110*$AA$110</f>
        <v>1818.2330839974502</v>
      </c>
    </row>
    <row r="111" spans="1:33" ht="11.25" customHeight="1" x14ac:dyDescent="0.25">
      <c r="A111" s="4" t="s">
        <v>21</v>
      </c>
      <c r="B111" s="4" t="s">
        <v>28</v>
      </c>
      <c r="C111" s="4" t="s">
        <v>23</v>
      </c>
      <c r="D111" s="4" t="s">
        <v>30</v>
      </c>
      <c r="E111" s="4" t="s">
        <v>25</v>
      </c>
      <c r="F111" s="4" t="s">
        <v>25</v>
      </c>
      <c r="G111" s="4" t="s">
        <v>25</v>
      </c>
      <c r="H111" s="4" t="s">
        <v>25</v>
      </c>
      <c r="I111" s="5">
        <v>44805</v>
      </c>
      <c r="J111" s="6">
        <v>0</v>
      </c>
      <c r="K111" s="6">
        <v>0</v>
      </c>
      <c r="L111" s="6">
        <v>105.134</v>
      </c>
      <c r="M111" s="6">
        <v>105.134</v>
      </c>
      <c r="N111" s="6">
        <v>105.134</v>
      </c>
      <c r="O111" s="6">
        <v>105.134</v>
      </c>
      <c r="P111" s="6">
        <v>199</v>
      </c>
      <c r="Q111" s="4" t="s">
        <v>26</v>
      </c>
      <c r="R111" s="4">
        <v>0</v>
      </c>
      <c r="S111" s="6">
        <v>0</v>
      </c>
      <c r="T111" s="6">
        <v>42</v>
      </c>
      <c r="U111" s="6">
        <v>50</v>
      </c>
      <c r="V111" s="6">
        <f>IF(ISERROR(VLOOKUP($S$111,'TAR FIN'!$A$1:$O$73,15,0)),0,VLOOKUP($S$111,'TAR FIN'!$A$1:$O$73,15,0))</f>
        <v>0</v>
      </c>
      <c r="W111" s="6">
        <f>IF(ISERROR(VLOOKUP($T$111,'TAR FIN'!$A$1:$O$73,15,0)),0,VLOOKUP($T$111,'TAR FIN'!$A$1:$O$73,15,0))</f>
        <v>384.85</v>
      </c>
      <c r="X111" s="6">
        <f>IF(ISERROR(VLOOKUP($U$111,'TAR FIN'!$A$1:$O$73,15,0)),0,VLOOKUP($U$111,'TAR FIN'!$A$1:$O$73,15,0))</f>
        <v>248.09</v>
      </c>
      <c r="Y111" s="6"/>
      <c r="Z111" s="6">
        <f ca="1">('TUSD BE'!$AM$48+'TUSD BF'!$AM$48+'TUSD CVA'!$AM$48)*1</f>
        <v>486.0916419076849</v>
      </c>
      <c r="AA111" s="6">
        <f>('TE BE'!$AB$38+'TE BF'!$AB$38+'TE CVA'!$AB$38)*1</f>
        <v>192.10069561515587</v>
      </c>
      <c r="AB111" s="6">
        <f>$K$111*$V$111</f>
        <v>0</v>
      </c>
      <c r="AC111" s="6">
        <f>$M$111*$W$111</f>
        <v>40460.819900000002</v>
      </c>
      <c r="AD111" s="6">
        <f>$O$111*$X$111</f>
        <v>26082.694060000002</v>
      </c>
      <c r="AE111" s="6">
        <f>$K$111*$Y$111</f>
        <v>0</v>
      </c>
      <c r="AF111" s="6">
        <f ca="1">$M$111*$Z$111</f>
        <v>51104.758680322542</v>
      </c>
      <c r="AG111" s="6">
        <f>$O$111*$AA$111</f>
        <v>20196.314532803797</v>
      </c>
    </row>
    <row r="112" spans="1:33" ht="11.25" customHeight="1" x14ac:dyDescent="0.25">
      <c r="A112" s="4" t="s">
        <v>27</v>
      </c>
      <c r="B112" s="4" t="s">
        <v>28</v>
      </c>
      <c r="C112" s="4" t="s">
        <v>23</v>
      </c>
      <c r="D112" s="4" t="s">
        <v>30</v>
      </c>
      <c r="E112" s="4" t="s">
        <v>25</v>
      </c>
      <c r="F112" s="4" t="s">
        <v>25</v>
      </c>
      <c r="G112" s="4" t="s">
        <v>25</v>
      </c>
      <c r="H112" s="4" t="s">
        <v>25</v>
      </c>
      <c r="I112" s="5">
        <v>44805</v>
      </c>
      <c r="J112" s="6">
        <v>0</v>
      </c>
      <c r="K112" s="6">
        <v>0</v>
      </c>
      <c r="L112" s="6">
        <v>11.551</v>
      </c>
      <c r="M112" s="6">
        <v>11.551</v>
      </c>
      <c r="N112" s="6">
        <v>11.551</v>
      </c>
      <c r="O112" s="6">
        <v>11.551</v>
      </c>
      <c r="P112" s="6">
        <v>16</v>
      </c>
      <c r="Q112" s="4" t="s">
        <v>26</v>
      </c>
      <c r="R112" s="4">
        <v>0</v>
      </c>
      <c r="S112" s="6">
        <v>0</v>
      </c>
      <c r="T112" s="6">
        <v>42</v>
      </c>
      <c r="U112" s="6">
        <v>50</v>
      </c>
      <c r="V112" s="6">
        <f>IF(ISERROR(VLOOKUP($S$112,'TAR FIN'!$A$1:$O$73,15,0)),0,VLOOKUP($S$112,'TAR FIN'!$A$1:$O$73,15,0))</f>
        <v>0</v>
      </c>
      <c r="W112" s="6">
        <f>IF(ISERROR(VLOOKUP($T$112,'TAR FIN'!$A$1:$O$73,15,0)),0,VLOOKUP($T$112,'TAR FIN'!$A$1:$O$73,15,0))</f>
        <v>384.85</v>
      </c>
      <c r="X112" s="6">
        <f>IF(ISERROR(VLOOKUP($U$112,'TAR FIN'!$A$1:$O$73,15,0)),0,VLOOKUP($U$112,'TAR FIN'!$A$1:$O$73,15,0))</f>
        <v>248.09</v>
      </c>
      <c r="Y112" s="6"/>
      <c r="Z112" s="6">
        <f ca="1">('TUSD BE'!$AM$48+'TUSD BF'!$AM$48+'TUSD CVA'!$AM$48)*1</f>
        <v>486.0916419076849</v>
      </c>
      <c r="AA112" s="6">
        <f>('TE BE'!$AB$38+'TE BF'!$AB$38+'TE CVA'!$AB$38)*1</f>
        <v>192.10069561515587</v>
      </c>
      <c r="AB112" s="6">
        <f>$K$112*$V$112</f>
        <v>0</v>
      </c>
      <c r="AC112" s="6">
        <f>$M$112*$W$112</f>
        <v>4445.4023500000003</v>
      </c>
      <c r="AD112" s="6">
        <f>$O$112*$X$112</f>
        <v>2865.68759</v>
      </c>
      <c r="AE112" s="6">
        <f>$K$112*$Y$112</f>
        <v>0</v>
      </c>
      <c r="AF112" s="6">
        <f ca="1">$M$112*$Z$112</f>
        <v>5614.8445556756687</v>
      </c>
      <c r="AG112" s="6">
        <f>$O$112*$AA$112</f>
        <v>2218.9551350506654</v>
      </c>
    </row>
    <row r="113" spans="1:33" ht="11.25" customHeight="1" x14ac:dyDescent="0.25">
      <c r="A113" s="4" t="s">
        <v>21</v>
      </c>
      <c r="B113" s="4" t="s">
        <v>28</v>
      </c>
      <c r="C113" s="4" t="s">
        <v>23</v>
      </c>
      <c r="D113" s="4" t="s">
        <v>30</v>
      </c>
      <c r="E113" s="4" t="s">
        <v>25</v>
      </c>
      <c r="F113" s="4" t="s">
        <v>25</v>
      </c>
      <c r="G113" s="4" t="s">
        <v>25</v>
      </c>
      <c r="H113" s="4" t="s">
        <v>25</v>
      </c>
      <c r="I113" s="5">
        <v>44835</v>
      </c>
      <c r="J113" s="6">
        <v>0</v>
      </c>
      <c r="K113" s="6">
        <v>0</v>
      </c>
      <c r="L113" s="6">
        <v>104.515</v>
      </c>
      <c r="M113" s="6">
        <v>104.515</v>
      </c>
      <c r="N113" s="6">
        <v>104.515</v>
      </c>
      <c r="O113" s="6">
        <v>104.515</v>
      </c>
      <c r="P113" s="6">
        <v>206</v>
      </c>
      <c r="Q113" s="4" t="s">
        <v>26</v>
      </c>
      <c r="R113" s="4">
        <v>0</v>
      </c>
      <c r="S113" s="6">
        <v>0</v>
      </c>
      <c r="T113" s="6">
        <v>42</v>
      </c>
      <c r="U113" s="6">
        <v>50</v>
      </c>
      <c r="V113" s="6">
        <f>IF(ISERROR(VLOOKUP($S$113,'TAR FIN'!$A$1:$O$73,15,0)),0,VLOOKUP($S$113,'TAR FIN'!$A$1:$O$73,15,0))</f>
        <v>0</v>
      </c>
      <c r="W113" s="6">
        <f>IF(ISERROR(VLOOKUP($T$113,'TAR FIN'!$A$1:$O$73,15,0)),0,VLOOKUP($T$113,'TAR FIN'!$A$1:$O$73,15,0))</f>
        <v>384.85</v>
      </c>
      <c r="X113" s="6">
        <f>IF(ISERROR(VLOOKUP($U$113,'TAR FIN'!$A$1:$O$73,15,0)),0,VLOOKUP($U$113,'TAR FIN'!$A$1:$O$73,15,0))</f>
        <v>248.09</v>
      </c>
      <c r="Y113" s="6"/>
      <c r="Z113" s="6">
        <f ca="1">('TUSD BE'!$AM$48+'TUSD BF'!$AM$48+'TUSD CVA'!$AM$48)*1</f>
        <v>486.0916419076849</v>
      </c>
      <c r="AA113" s="6">
        <f>('TE BE'!$AB$38+'TE BF'!$AB$38+'TE CVA'!$AB$38)*1</f>
        <v>192.10069561515587</v>
      </c>
      <c r="AB113" s="6">
        <f>$K$113*$V$113</f>
        <v>0</v>
      </c>
      <c r="AC113" s="6">
        <f>$M$113*$W$113</f>
        <v>40222.597750000001</v>
      </c>
      <c r="AD113" s="6">
        <f>$O$113*$X$113</f>
        <v>25929.126350000002</v>
      </c>
      <c r="AE113" s="6">
        <f>$K$113*$Y$113</f>
        <v>0</v>
      </c>
      <c r="AF113" s="6">
        <f ca="1">$M$113*$Z$113</f>
        <v>50803.867953981688</v>
      </c>
      <c r="AG113" s="6">
        <f>$O$113*$AA$113</f>
        <v>20077.404202218015</v>
      </c>
    </row>
    <row r="114" spans="1:33" ht="11.25" customHeight="1" x14ac:dyDescent="0.25">
      <c r="A114" s="4" t="s">
        <v>27</v>
      </c>
      <c r="B114" s="4" t="s">
        <v>28</v>
      </c>
      <c r="C114" s="4" t="s">
        <v>23</v>
      </c>
      <c r="D114" s="4" t="s">
        <v>30</v>
      </c>
      <c r="E114" s="4" t="s">
        <v>25</v>
      </c>
      <c r="F114" s="4" t="s">
        <v>25</v>
      </c>
      <c r="G114" s="4" t="s">
        <v>25</v>
      </c>
      <c r="H114" s="4" t="s">
        <v>25</v>
      </c>
      <c r="I114" s="5">
        <v>44835</v>
      </c>
      <c r="J114" s="6">
        <v>0</v>
      </c>
      <c r="K114" s="6">
        <v>0</v>
      </c>
      <c r="L114" s="6">
        <v>48.408000000000001</v>
      </c>
      <c r="M114" s="6">
        <v>48.408000000000001</v>
      </c>
      <c r="N114" s="6">
        <v>48.408000000000001</v>
      </c>
      <c r="O114" s="6">
        <v>48.408000000000001</v>
      </c>
      <c r="P114" s="6">
        <v>17</v>
      </c>
      <c r="Q114" s="4" t="s">
        <v>26</v>
      </c>
      <c r="R114" s="4">
        <v>0</v>
      </c>
      <c r="S114" s="6">
        <v>0</v>
      </c>
      <c r="T114" s="6">
        <v>42</v>
      </c>
      <c r="U114" s="6">
        <v>50</v>
      </c>
      <c r="V114" s="6">
        <f>IF(ISERROR(VLOOKUP($S$114,'TAR FIN'!$A$1:$O$73,15,0)),0,VLOOKUP($S$114,'TAR FIN'!$A$1:$O$73,15,0))</f>
        <v>0</v>
      </c>
      <c r="W114" s="6">
        <f>IF(ISERROR(VLOOKUP($T$114,'TAR FIN'!$A$1:$O$73,15,0)),0,VLOOKUP($T$114,'TAR FIN'!$A$1:$O$73,15,0))</f>
        <v>384.85</v>
      </c>
      <c r="X114" s="6">
        <f>IF(ISERROR(VLOOKUP($U$114,'TAR FIN'!$A$1:$O$73,15,0)),0,VLOOKUP($U$114,'TAR FIN'!$A$1:$O$73,15,0))</f>
        <v>248.09</v>
      </c>
      <c r="Y114" s="6"/>
      <c r="Z114" s="6">
        <f ca="1">('TUSD BE'!$AM$48+'TUSD BF'!$AM$48+'TUSD CVA'!$AM$48)*1</f>
        <v>486.0916419076849</v>
      </c>
      <c r="AA114" s="6">
        <f>('TE BE'!$AB$38+'TE BF'!$AB$38+'TE CVA'!$AB$38)*1</f>
        <v>192.10069561515587</v>
      </c>
      <c r="AB114" s="6">
        <f>$K$114*$V$114</f>
        <v>0</v>
      </c>
      <c r="AC114" s="6">
        <f>$M$114*$W$114</f>
        <v>18629.818800000001</v>
      </c>
      <c r="AD114" s="6">
        <f>$O$114*$X$114</f>
        <v>12009.540720000001</v>
      </c>
      <c r="AE114" s="6">
        <f>$K$114*$Y$114</f>
        <v>0</v>
      </c>
      <c r="AF114" s="6">
        <f ca="1">$M$114*$Z$114</f>
        <v>23530.724201467212</v>
      </c>
      <c r="AG114" s="6">
        <f>$O$114*$AA$114</f>
        <v>9299.2104733384658</v>
      </c>
    </row>
    <row r="115" spans="1:33" ht="11.25" customHeight="1" x14ac:dyDescent="0.25">
      <c r="A115" s="4" t="s">
        <v>21</v>
      </c>
      <c r="B115" s="4" t="s">
        <v>28</v>
      </c>
      <c r="C115" s="4" t="s">
        <v>23</v>
      </c>
      <c r="D115" s="4" t="s">
        <v>29</v>
      </c>
      <c r="E115" s="4" t="s">
        <v>25</v>
      </c>
      <c r="F115" s="4" t="s">
        <v>25</v>
      </c>
      <c r="G115" s="4" t="s">
        <v>25</v>
      </c>
      <c r="H115" s="4" t="s">
        <v>25</v>
      </c>
      <c r="I115" s="5">
        <v>44501</v>
      </c>
      <c r="J115" s="6">
        <v>0</v>
      </c>
      <c r="K115" s="6">
        <v>0</v>
      </c>
      <c r="L115" s="6">
        <v>103.886</v>
      </c>
      <c r="M115" s="6">
        <v>103.886</v>
      </c>
      <c r="N115" s="6">
        <v>103.886</v>
      </c>
      <c r="O115" s="6">
        <v>103.886</v>
      </c>
      <c r="P115" s="6">
        <v>39</v>
      </c>
      <c r="Q115" s="4" t="s">
        <v>26</v>
      </c>
      <c r="R115" s="4">
        <v>0</v>
      </c>
      <c r="S115" s="6">
        <v>0</v>
      </c>
      <c r="T115" s="6">
        <v>42</v>
      </c>
      <c r="U115" s="6">
        <v>50</v>
      </c>
      <c r="V115" s="6">
        <f>IF(ISERROR(VLOOKUP($S$115,'TAR FIN'!$A$1:$O$73,15,0)),0,VLOOKUP($S$115,'TAR FIN'!$A$1:$O$73,15,0))</f>
        <v>0</v>
      </c>
      <c r="W115" s="6">
        <f>IF(ISERROR(VLOOKUP($T$115,'TAR FIN'!$A$1:$O$73,15,0)),0,VLOOKUP($T$115,'TAR FIN'!$A$1:$O$73,15,0))</f>
        <v>384.85</v>
      </c>
      <c r="X115" s="6">
        <f>IF(ISERROR(VLOOKUP($U$115,'TAR FIN'!$A$1:$O$73,15,0)),0,VLOOKUP($U$115,'TAR FIN'!$A$1:$O$73,15,0))</f>
        <v>248.09</v>
      </c>
      <c r="Y115" s="6"/>
      <c r="Z115" s="6">
        <f ca="1">('TUSD BE'!$AM$48+'TUSD BF'!$AM$48+'TUSD CVA'!$AM$48)*1</f>
        <v>486.0916419076849</v>
      </c>
      <c r="AA115" s="6">
        <f>('TE BE'!$AB$38+'TE BF'!$AB$38+'TE CVA'!$AB$38)*1</f>
        <v>192.10069561515587</v>
      </c>
      <c r="AB115" s="6">
        <f>$K$115*$V$115</f>
        <v>0</v>
      </c>
      <c r="AC115" s="6">
        <f>$M$115*$W$115</f>
        <v>39980.527099999999</v>
      </c>
      <c r="AD115" s="6">
        <f>$O$115*$X$115</f>
        <v>25773.077740000001</v>
      </c>
      <c r="AE115" s="6">
        <f>$K$115*$Y$115</f>
        <v>0</v>
      </c>
      <c r="AF115" s="6">
        <f ca="1">$M$115*$Z$115</f>
        <v>50498.116311221755</v>
      </c>
      <c r="AG115" s="6">
        <f>$O$115*$AA$115</f>
        <v>19956.572864676084</v>
      </c>
    </row>
    <row r="116" spans="1:33" ht="11.25" customHeight="1" x14ac:dyDescent="0.25">
      <c r="A116" s="4" t="s">
        <v>27</v>
      </c>
      <c r="B116" s="4" t="s">
        <v>28</v>
      </c>
      <c r="C116" s="4" t="s">
        <v>23</v>
      </c>
      <c r="D116" s="4" t="s">
        <v>29</v>
      </c>
      <c r="E116" s="4" t="s">
        <v>25</v>
      </c>
      <c r="F116" s="4" t="s">
        <v>25</v>
      </c>
      <c r="G116" s="4" t="s">
        <v>25</v>
      </c>
      <c r="H116" s="4" t="s">
        <v>25</v>
      </c>
      <c r="I116" s="5">
        <v>44501</v>
      </c>
      <c r="J116" s="6">
        <v>0</v>
      </c>
      <c r="K116" s="6">
        <v>0</v>
      </c>
      <c r="L116" s="6">
        <v>21.172000000000001</v>
      </c>
      <c r="M116" s="6">
        <v>21.172000000000001</v>
      </c>
      <c r="N116" s="6">
        <v>21.172000000000001</v>
      </c>
      <c r="O116" s="6">
        <v>21.172000000000001</v>
      </c>
      <c r="P116" s="6">
        <v>9</v>
      </c>
      <c r="Q116" s="4" t="s">
        <v>26</v>
      </c>
      <c r="R116" s="4">
        <v>0</v>
      </c>
      <c r="S116" s="6">
        <v>0</v>
      </c>
      <c r="T116" s="6">
        <v>42</v>
      </c>
      <c r="U116" s="6">
        <v>50</v>
      </c>
      <c r="V116" s="6">
        <f>IF(ISERROR(VLOOKUP($S$116,'TAR FIN'!$A$1:$O$73,15,0)),0,VLOOKUP($S$116,'TAR FIN'!$A$1:$O$73,15,0))</f>
        <v>0</v>
      </c>
      <c r="W116" s="6">
        <f>IF(ISERROR(VLOOKUP($T$116,'TAR FIN'!$A$1:$O$73,15,0)),0,VLOOKUP($T$116,'TAR FIN'!$A$1:$O$73,15,0))</f>
        <v>384.85</v>
      </c>
      <c r="X116" s="6">
        <f>IF(ISERROR(VLOOKUP($U$116,'TAR FIN'!$A$1:$O$73,15,0)),0,VLOOKUP($U$116,'TAR FIN'!$A$1:$O$73,15,0))</f>
        <v>248.09</v>
      </c>
      <c r="Y116" s="6"/>
      <c r="Z116" s="6">
        <f ca="1">('TUSD BE'!$AM$48+'TUSD BF'!$AM$48+'TUSD CVA'!$AM$48)*1</f>
        <v>486.0916419076849</v>
      </c>
      <c r="AA116" s="6">
        <f>('TE BE'!$AB$38+'TE BF'!$AB$38+'TE CVA'!$AB$38)*1</f>
        <v>192.10069561515587</v>
      </c>
      <c r="AB116" s="6">
        <f>$K$116*$V$116</f>
        <v>0</v>
      </c>
      <c r="AC116" s="6">
        <f>$M$116*$W$116</f>
        <v>8148.0442000000003</v>
      </c>
      <c r="AD116" s="6">
        <f>$O$116*$X$116</f>
        <v>5252.5614800000003</v>
      </c>
      <c r="AE116" s="6">
        <f>$K$116*$Y$116</f>
        <v>0</v>
      </c>
      <c r="AF116" s="6">
        <f ca="1">$M$116*$Z$116</f>
        <v>10291.532242469506</v>
      </c>
      <c r="AG116" s="6">
        <f>$O$116*$AA$116</f>
        <v>4067.1559275640802</v>
      </c>
    </row>
    <row r="117" spans="1:33" ht="11.25" customHeight="1" x14ac:dyDescent="0.25">
      <c r="A117" s="4" t="s">
        <v>21</v>
      </c>
      <c r="B117" s="4" t="s">
        <v>28</v>
      </c>
      <c r="C117" s="4" t="s">
        <v>23</v>
      </c>
      <c r="D117" s="4" t="s">
        <v>29</v>
      </c>
      <c r="E117" s="4" t="s">
        <v>25</v>
      </c>
      <c r="F117" s="4" t="s">
        <v>25</v>
      </c>
      <c r="G117" s="4" t="s">
        <v>25</v>
      </c>
      <c r="H117" s="4" t="s">
        <v>25</v>
      </c>
      <c r="I117" s="5">
        <v>44531</v>
      </c>
      <c r="J117" s="6">
        <v>0</v>
      </c>
      <c r="K117" s="6">
        <v>0</v>
      </c>
      <c r="L117" s="6">
        <v>106.105</v>
      </c>
      <c r="M117" s="6">
        <v>106.105</v>
      </c>
      <c r="N117" s="6">
        <v>106.105</v>
      </c>
      <c r="O117" s="6">
        <v>106.105</v>
      </c>
      <c r="P117" s="6">
        <v>38</v>
      </c>
      <c r="Q117" s="4" t="s">
        <v>26</v>
      </c>
      <c r="R117" s="4">
        <v>0</v>
      </c>
      <c r="S117" s="6">
        <v>0</v>
      </c>
      <c r="T117" s="6">
        <v>42</v>
      </c>
      <c r="U117" s="6">
        <v>50</v>
      </c>
      <c r="V117" s="6">
        <f>IF(ISERROR(VLOOKUP($S$117,'TAR FIN'!$A$1:$O$73,15,0)),0,VLOOKUP($S$117,'TAR FIN'!$A$1:$O$73,15,0))</f>
        <v>0</v>
      </c>
      <c r="W117" s="6">
        <f>IF(ISERROR(VLOOKUP($T$117,'TAR FIN'!$A$1:$O$73,15,0)),0,VLOOKUP($T$117,'TAR FIN'!$A$1:$O$73,15,0))</f>
        <v>384.85</v>
      </c>
      <c r="X117" s="6">
        <f>IF(ISERROR(VLOOKUP($U$117,'TAR FIN'!$A$1:$O$73,15,0)),0,VLOOKUP($U$117,'TAR FIN'!$A$1:$O$73,15,0))</f>
        <v>248.09</v>
      </c>
      <c r="Y117" s="6"/>
      <c r="Z117" s="6">
        <f ca="1">('TUSD BE'!$AM$48+'TUSD BF'!$AM$48+'TUSD CVA'!$AM$48)*1</f>
        <v>486.0916419076849</v>
      </c>
      <c r="AA117" s="6">
        <f>('TE BE'!$AB$38+'TE BF'!$AB$38+'TE CVA'!$AB$38)*1</f>
        <v>192.10069561515587</v>
      </c>
      <c r="AB117" s="6">
        <f>$K$117*$V$117</f>
        <v>0</v>
      </c>
      <c r="AC117" s="6">
        <f>$M$117*$W$117</f>
        <v>40834.509250000003</v>
      </c>
      <c r="AD117" s="6">
        <f>$O$117*$X$117</f>
        <v>26323.589450000003</v>
      </c>
      <c r="AE117" s="6">
        <f>$K$117*$Y$117</f>
        <v>0</v>
      </c>
      <c r="AF117" s="6">
        <f ca="1">$M$117*$Z$117</f>
        <v>51576.753664614909</v>
      </c>
      <c r="AG117" s="6">
        <f>$O$117*$AA$117</f>
        <v>20382.844308246116</v>
      </c>
    </row>
    <row r="118" spans="1:33" ht="11.25" customHeight="1" x14ac:dyDescent="0.25">
      <c r="A118" s="4" t="s">
        <v>27</v>
      </c>
      <c r="B118" s="4" t="s">
        <v>28</v>
      </c>
      <c r="C118" s="4" t="s">
        <v>23</v>
      </c>
      <c r="D118" s="4" t="s">
        <v>29</v>
      </c>
      <c r="E118" s="4" t="s">
        <v>25</v>
      </c>
      <c r="F118" s="4" t="s">
        <v>25</v>
      </c>
      <c r="G118" s="4" t="s">
        <v>25</v>
      </c>
      <c r="H118" s="4" t="s">
        <v>25</v>
      </c>
      <c r="I118" s="5">
        <v>44531</v>
      </c>
      <c r="J118" s="6">
        <v>0</v>
      </c>
      <c r="K118" s="6">
        <v>0</v>
      </c>
      <c r="L118" s="6">
        <v>22.609000000000002</v>
      </c>
      <c r="M118" s="6">
        <v>22.609000000000002</v>
      </c>
      <c r="N118" s="6">
        <v>22.609000000000002</v>
      </c>
      <c r="O118" s="6">
        <v>22.609000000000002</v>
      </c>
      <c r="P118" s="6">
        <v>9</v>
      </c>
      <c r="Q118" s="4" t="s">
        <v>26</v>
      </c>
      <c r="R118" s="4">
        <v>0</v>
      </c>
      <c r="S118" s="6">
        <v>0</v>
      </c>
      <c r="T118" s="6">
        <v>42</v>
      </c>
      <c r="U118" s="6">
        <v>50</v>
      </c>
      <c r="V118" s="6">
        <f>IF(ISERROR(VLOOKUP($S$118,'TAR FIN'!$A$1:$O$73,15,0)),0,VLOOKUP($S$118,'TAR FIN'!$A$1:$O$73,15,0))</f>
        <v>0</v>
      </c>
      <c r="W118" s="6">
        <f>IF(ISERROR(VLOOKUP($T$118,'TAR FIN'!$A$1:$O$73,15,0)),0,VLOOKUP($T$118,'TAR FIN'!$A$1:$O$73,15,0))</f>
        <v>384.85</v>
      </c>
      <c r="X118" s="6">
        <f>IF(ISERROR(VLOOKUP($U$118,'TAR FIN'!$A$1:$O$73,15,0)),0,VLOOKUP($U$118,'TAR FIN'!$A$1:$O$73,15,0))</f>
        <v>248.09</v>
      </c>
      <c r="Y118" s="6"/>
      <c r="Z118" s="6">
        <f ca="1">('TUSD BE'!$AM$48+'TUSD BF'!$AM$48+'TUSD CVA'!$AM$48)*1</f>
        <v>486.0916419076849</v>
      </c>
      <c r="AA118" s="6">
        <f>('TE BE'!$AB$38+'TE BF'!$AB$38+'TE CVA'!$AB$38)*1</f>
        <v>192.10069561515587</v>
      </c>
      <c r="AB118" s="6">
        <f>$K$118*$V$118</f>
        <v>0</v>
      </c>
      <c r="AC118" s="6">
        <f>$M$118*$W$118</f>
        <v>8701.0736500000021</v>
      </c>
      <c r="AD118" s="6">
        <f>$O$118*$X$118</f>
        <v>5609.0668100000003</v>
      </c>
      <c r="AE118" s="6">
        <f>$K$118*$Y$118</f>
        <v>0</v>
      </c>
      <c r="AF118" s="6">
        <f ca="1">$M$118*$Z$118</f>
        <v>10990.045931890849</v>
      </c>
      <c r="AG118" s="6">
        <f>$O$118*$AA$118</f>
        <v>4343.2046271630597</v>
      </c>
    </row>
    <row r="119" spans="1:33" ht="11.25" customHeight="1" x14ac:dyDescent="0.25">
      <c r="A119" s="4" t="s">
        <v>21</v>
      </c>
      <c r="B119" s="4" t="s">
        <v>28</v>
      </c>
      <c r="C119" s="4" t="s">
        <v>23</v>
      </c>
      <c r="D119" s="4" t="s">
        <v>29</v>
      </c>
      <c r="E119" s="4" t="s">
        <v>25</v>
      </c>
      <c r="F119" s="4" t="s">
        <v>25</v>
      </c>
      <c r="G119" s="4" t="s">
        <v>25</v>
      </c>
      <c r="H119" s="4" t="s">
        <v>25</v>
      </c>
      <c r="I119" s="5">
        <v>44562</v>
      </c>
      <c r="J119" s="6">
        <v>0</v>
      </c>
      <c r="K119" s="6">
        <v>0</v>
      </c>
      <c r="L119" s="6">
        <v>77.126000000000005</v>
      </c>
      <c r="M119" s="6">
        <v>77.126000000000005</v>
      </c>
      <c r="N119" s="6">
        <v>77.126000000000005</v>
      </c>
      <c r="O119" s="6">
        <v>77.126000000000005</v>
      </c>
      <c r="P119" s="6">
        <v>38</v>
      </c>
      <c r="Q119" s="4" t="s">
        <v>26</v>
      </c>
      <c r="R119" s="4">
        <v>0</v>
      </c>
      <c r="S119" s="6">
        <v>0</v>
      </c>
      <c r="T119" s="6">
        <v>42</v>
      </c>
      <c r="U119" s="6">
        <v>50</v>
      </c>
      <c r="V119" s="6">
        <f>IF(ISERROR(VLOOKUP($S$119,'TAR FIN'!$A$1:$O$73,15,0)),0,VLOOKUP($S$119,'TAR FIN'!$A$1:$O$73,15,0))</f>
        <v>0</v>
      </c>
      <c r="W119" s="6">
        <f>IF(ISERROR(VLOOKUP($T$119,'TAR FIN'!$A$1:$O$73,15,0)),0,VLOOKUP($T$119,'TAR FIN'!$A$1:$O$73,15,0))</f>
        <v>384.85</v>
      </c>
      <c r="X119" s="6">
        <f>IF(ISERROR(VLOOKUP($U$119,'TAR FIN'!$A$1:$O$73,15,0)),0,VLOOKUP($U$119,'TAR FIN'!$A$1:$O$73,15,0))</f>
        <v>248.09</v>
      </c>
      <c r="Y119" s="6"/>
      <c r="Z119" s="6">
        <f ca="1">('TUSD BE'!$AM$48+'TUSD BF'!$AM$48+'TUSD CVA'!$AM$48)*1</f>
        <v>486.0916419076849</v>
      </c>
      <c r="AA119" s="6">
        <f>('TE BE'!$AB$38+'TE BF'!$AB$38+'TE CVA'!$AB$38)*1</f>
        <v>192.10069561515587</v>
      </c>
      <c r="AB119" s="6">
        <f>$K$119*$V$119</f>
        <v>0</v>
      </c>
      <c r="AC119" s="6">
        <f>$M$119*$W$119</f>
        <v>29681.941100000004</v>
      </c>
      <c r="AD119" s="6">
        <f>$O$119*$X$119</f>
        <v>19134.189340000001</v>
      </c>
      <c r="AE119" s="6">
        <f>$K$119*$Y$119</f>
        <v>0</v>
      </c>
      <c r="AF119" s="6">
        <f ca="1">$M$119*$Z$119</f>
        <v>37490.303973772105</v>
      </c>
      <c r="AG119" s="6">
        <f>$O$119*$AA$119</f>
        <v>14815.958250014513</v>
      </c>
    </row>
    <row r="120" spans="1:33" ht="11.25" customHeight="1" x14ac:dyDescent="0.25">
      <c r="A120" s="4" t="s">
        <v>27</v>
      </c>
      <c r="B120" s="4" t="s">
        <v>28</v>
      </c>
      <c r="C120" s="4" t="s">
        <v>23</v>
      </c>
      <c r="D120" s="4" t="s">
        <v>29</v>
      </c>
      <c r="E120" s="4" t="s">
        <v>25</v>
      </c>
      <c r="F120" s="4" t="s">
        <v>25</v>
      </c>
      <c r="G120" s="4" t="s">
        <v>25</v>
      </c>
      <c r="H120" s="4" t="s">
        <v>25</v>
      </c>
      <c r="I120" s="5">
        <v>44562</v>
      </c>
      <c r="J120" s="6">
        <v>0</v>
      </c>
      <c r="K120" s="6">
        <v>0</v>
      </c>
      <c r="L120" s="6">
        <v>23.321000000000002</v>
      </c>
      <c r="M120" s="6">
        <v>23.321000000000002</v>
      </c>
      <c r="N120" s="6">
        <v>23.321000000000002</v>
      </c>
      <c r="O120" s="6">
        <v>23.321000000000002</v>
      </c>
      <c r="P120" s="6">
        <v>9</v>
      </c>
      <c r="Q120" s="4" t="s">
        <v>26</v>
      </c>
      <c r="R120" s="4">
        <v>0</v>
      </c>
      <c r="S120" s="6">
        <v>0</v>
      </c>
      <c r="T120" s="6">
        <v>42</v>
      </c>
      <c r="U120" s="6">
        <v>50</v>
      </c>
      <c r="V120" s="6">
        <f>IF(ISERROR(VLOOKUP($S$120,'TAR FIN'!$A$1:$O$73,15,0)),0,VLOOKUP($S$120,'TAR FIN'!$A$1:$O$73,15,0))</f>
        <v>0</v>
      </c>
      <c r="W120" s="6">
        <f>IF(ISERROR(VLOOKUP($T$120,'TAR FIN'!$A$1:$O$73,15,0)),0,VLOOKUP($T$120,'TAR FIN'!$A$1:$O$73,15,0))</f>
        <v>384.85</v>
      </c>
      <c r="X120" s="6">
        <f>IF(ISERROR(VLOOKUP($U$120,'TAR FIN'!$A$1:$O$73,15,0)),0,VLOOKUP($U$120,'TAR FIN'!$A$1:$O$73,15,0))</f>
        <v>248.09</v>
      </c>
      <c r="Y120" s="6"/>
      <c r="Z120" s="6">
        <f ca="1">('TUSD BE'!$AM$48+'TUSD BF'!$AM$48+'TUSD CVA'!$AM$48)*1</f>
        <v>486.0916419076849</v>
      </c>
      <c r="AA120" s="6">
        <f>('TE BE'!$AB$38+'TE BF'!$AB$38+'TE CVA'!$AB$38)*1</f>
        <v>192.10069561515587</v>
      </c>
      <c r="AB120" s="6">
        <f>$K$120*$V$120</f>
        <v>0</v>
      </c>
      <c r="AC120" s="6">
        <f>$M$120*$W$120</f>
        <v>8975.0868500000015</v>
      </c>
      <c r="AD120" s="6">
        <f>$O$120*$X$120</f>
        <v>5785.7068900000004</v>
      </c>
      <c r="AE120" s="6">
        <f>$K$120*$Y$120</f>
        <v>0</v>
      </c>
      <c r="AF120" s="6">
        <f ca="1">$M$120*$Z$120</f>
        <v>11336.143180929121</v>
      </c>
      <c r="AG120" s="6">
        <f>$O$120*$AA$120</f>
        <v>4479.9803224410507</v>
      </c>
    </row>
    <row r="121" spans="1:33" ht="11.25" customHeight="1" x14ac:dyDescent="0.25">
      <c r="A121" s="4" t="s">
        <v>21</v>
      </c>
      <c r="B121" s="4" t="s">
        <v>28</v>
      </c>
      <c r="C121" s="4" t="s">
        <v>23</v>
      </c>
      <c r="D121" s="4" t="s">
        <v>29</v>
      </c>
      <c r="E121" s="4" t="s">
        <v>25</v>
      </c>
      <c r="F121" s="4" t="s">
        <v>25</v>
      </c>
      <c r="G121" s="4" t="s">
        <v>25</v>
      </c>
      <c r="H121" s="4" t="s">
        <v>25</v>
      </c>
      <c r="I121" s="5">
        <v>44593</v>
      </c>
      <c r="J121" s="6">
        <v>0</v>
      </c>
      <c r="K121" s="6">
        <v>0</v>
      </c>
      <c r="L121" s="6">
        <v>96.763999999999996</v>
      </c>
      <c r="M121" s="6">
        <v>96.763999999999996</v>
      </c>
      <c r="N121" s="6">
        <v>96.763999999999996</v>
      </c>
      <c r="O121" s="6">
        <v>96.763999999999996</v>
      </c>
      <c r="P121" s="6">
        <v>38</v>
      </c>
      <c r="Q121" s="4" t="s">
        <v>26</v>
      </c>
      <c r="R121" s="4">
        <v>0</v>
      </c>
      <c r="S121" s="6">
        <v>0</v>
      </c>
      <c r="T121" s="6">
        <v>42</v>
      </c>
      <c r="U121" s="6">
        <v>50</v>
      </c>
      <c r="V121" s="6">
        <f>IF(ISERROR(VLOOKUP($S$121,'TAR FIN'!$A$1:$O$73,15,0)),0,VLOOKUP($S$121,'TAR FIN'!$A$1:$O$73,15,0))</f>
        <v>0</v>
      </c>
      <c r="W121" s="6">
        <f>IF(ISERROR(VLOOKUP($T$121,'TAR FIN'!$A$1:$O$73,15,0)),0,VLOOKUP($T$121,'TAR FIN'!$A$1:$O$73,15,0))</f>
        <v>384.85</v>
      </c>
      <c r="X121" s="6">
        <f>IF(ISERROR(VLOOKUP($U$121,'TAR FIN'!$A$1:$O$73,15,0)),0,VLOOKUP($U$121,'TAR FIN'!$A$1:$O$73,15,0))</f>
        <v>248.09</v>
      </c>
      <c r="Y121" s="6"/>
      <c r="Z121" s="6">
        <f ca="1">('TUSD BE'!$AM$48+'TUSD BF'!$AM$48+'TUSD CVA'!$AM$48)*1</f>
        <v>486.0916419076849</v>
      </c>
      <c r="AA121" s="6">
        <f>('TE BE'!$AB$38+'TE BF'!$AB$38+'TE CVA'!$AB$38)*1</f>
        <v>192.10069561515587</v>
      </c>
      <c r="AB121" s="6">
        <f>$K$121*$V$121</f>
        <v>0</v>
      </c>
      <c r="AC121" s="6">
        <f>$M$121*$W$121</f>
        <v>37239.625399999997</v>
      </c>
      <c r="AD121" s="6">
        <f>$O$121*$X$121</f>
        <v>24006.180759999999</v>
      </c>
      <c r="AE121" s="6">
        <f>$K$121*$Y$121</f>
        <v>0</v>
      </c>
      <c r="AF121" s="6">
        <f ca="1">$M$121*$Z$121</f>
        <v>47036.171637555221</v>
      </c>
      <c r="AG121" s="6">
        <f>$O$121*$AA$121</f>
        <v>18588.431710504941</v>
      </c>
    </row>
    <row r="122" spans="1:33" ht="11.25" customHeight="1" x14ac:dyDescent="0.25">
      <c r="A122" s="4" t="s">
        <v>27</v>
      </c>
      <c r="B122" s="4" t="s">
        <v>28</v>
      </c>
      <c r="C122" s="4" t="s">
        <v>23</v>
      </c>
      <c r="D122" s="4" t="s">
        <v>29</v>
      </c>
      <c r="E122" s="4" t="s">
        <v>25</v>
      </c>
      <c r="F122" s="4" t="s">
        <v>25</v>
      </c>
      <c r="G122" s="4" t="s">
        <v>25</v>
      </c>
      <c r="H122" s="4" t="s">
        <v>25</v>
      </c>
      <c r="I122" s="5">
        <v>44593</v>
      </c>
      <c r="J122" s="6">
        <v>0</v>
      </c>
      <c r="K122" s="6">
        <v>0</v>
      </c>
      <c r="L122" s="6">
        <v>22.715</v>
      </c>
      <c r="M122" s="6">
        <v>22.715</v>
      </c>
      <c r="N122" s="6">
        <v>22.715</v>
      </c>
      <c r="O122" s="6">
        <v>22.715</v>
      </c>
      <c r="P122" s="6">
        <v>11</v>
      </c>
      <c r="Q122" s="4" t="s">
        <v>26</v>
      </c>
      <c r="R122" s="4">
        <v>0</v>
      </c>
      <c r="S122" s="6">
        <v>0</v>
      </c>
      <c r="T122" s="6">
        <v>42</v>
      </c>
      <c r="U122" s="6">
        <v>50</v>
      </c>
      <c r="V122" s="6">
        <f>IF(ISERROR(VLOOKUP($S$122,'TAR FIN'!$A$1:$O$73,15,0)),0,VLOOKUP($S$122,'TAR FIN'!$A$1:$O$73,15,0))</f>
        <v>0</v>
      </c>
      <c r="W122" s="6">
        <f>IF(ISERROR(VLOOKUP($T$122,'TAR FIN'!$A$1:$O$73,15,0)),0,VLOOKUP($T$122,'TAR FIN'!$A$1:$O$73,15,0))</f>
        <v>384.85</v>
      </c>
      <c r="X122" s="6">
        <f>IF(ISERROR(VLOOKUP($U$122,'TAR FIN'!$A$1:$O$73,15,0)),0,VLOOKUP($U$122,'TAR FIN'!$A$1:$O$73,15,0))</f>
        <v>248.09</v>
      </c>
      <c r="Y122" s="6"/>
      <c r="Z122" s="6">
        <f ca="1">('TUSD BE'!$AM$48+'TUSD BF'!$AM$48+'TUSD CVA'!$AM$48)*1</f>
        <v>486.0916419076849</v>
      </c>
      <c r="AA122" s="6">
        <f>('TE BE'!$AB$38+'TE BF'!$AB$38+'TE CVA'!$AB$38)*1</f>
        <v>192.10069561515587</v>
      </c>
      <c r="AB122" s="6">
        <f>$K$122*$V$122</f>
        <v>0</v>
      </c>
      <c r="AC122" s="6">
        <f>$M$122*$W$122</f>
        <v>8741.8677500000013</v>
      </c>
      <c r="AD122" s="6">
        <f>$O$122*$X$122</f>
        <v>5635.3643499999998</v>
      </c>
      <c r="AE122" s="6">
        <f>$K$122*$Y$122</f>
        <v>0</v>
      </c>
      <c r="AF122" s="6">
        <f ca="1">$M$122*$Z$122</f>
        <v>11041.571645933063</v>
      </c>
      <c r="AG122" s="6">
        <f>$O$122*$AA$122</f>
        <v>4363.5673008982658</v>
      </c>
    </row>
    <row r="123" spans="1:33" ht="11.25" customHeight="1" x14ac:dyDescent="0.25">
      <c r="A123" s="4" t="s">
        <v>21</v>
      </c>
      <c r="B123" s="4" t="s">
        <v>28</v>
      </c>
      <c r="C123" s="4" t="s">
        <v>23</v>
      </c>
      <c r="D123" s="4" t="s">
        <v>29</v>
      </c>
      <c r="E123" s="4" t="s">
        <v>25</v>
      </c>
      <c r="F123" s="4" t="s">
        <v>25</v>
      </c>
      <c r="G123" s="4" t="s">
        <v>25</v>
      </c>
      <c r="H123" s="4" t="s">
        <v>25</v>
      </c>
      <c r="I123" s="5">
        <v>44621</v>
      </c>
      <c r="J123" s="6">
        <v>0</v>
      </c>
      <c r="K123" s="6">
        <v>0</v>
      </c>
      <c r="L123" s="6">
        <v>94.58</v>
      </c>
      <c r="M123" s="6">
        <v>94.58</v>
      </c>
      <c r="N123" s="6">
        <v>94.58</v>
      </c>
      <c r="O123" s="6">
        <v>94.58</v>
      </c>
      <c r="P123" s="6">
        <v>38</v>
      </c>
      <c r="Q123" s="4" t="s">
        <v>26</v>
      </c>
      <c r="R123" s="4">
        <v>0</v>
      </c>
      <c r="S123" s="6">
        <v>0</v>
      </c>
      <c r="T123" s="6">
        <v>42</v>
      </c>
      <c r="U123" s="6">
        <v>50</v>
      </c>
      <c r="V123" s="6">
        <f>IF(ISERROR(VLOOKUP($S$123,'TAR FIN'!$A$1:$O$73,15,0)),0,VLOOKUP($S$123,'TAR FIN'!$A$1:$O$73,15,0))</f>
        <v>0</v>
      </c>
      <c r="W123" s="6">
        <f>IF(ISERROR(VLOOKUP($T$123,'TAR FIN'!$A$1:$O$73,15,0)),0,VLOOKUP($T$123,'TAR FIN'!$A$1:$O$73,15,0))</f>
        <v>384.85</v>
      </c>
      <c r="X123" s="6">
        <f>IF(ISERROR(VLOOKUP($U$123,'TAR FIN'!$A$1:$O$73,15,0)),0,VLOOKUP($U$123,'TAR FIN'!$A$1:$O$73,15,0))</f>
        <v>248.09</v>
      </c>
      <c r="Y123" s="6"/>
      <c r="Z123" s="6">
        <f ca="1">('TUSD BE'!$AM$48+'TUSD BF'!$AM$48+'TUSD CVA'!$AM$48)*1</f>
        <v>486.0916419076849</v>
      </c>
      <c r="AA123" s="6">
        <f>('TE BE'!$AB$38+'TE BF'!$AB$38+'TE CVA'!$AB$38)*1</f>
        <v>192.10069561515587</v>
      </c>
      <c r="AB123" s="6">
        <f>$K$123*$V$123</f>
        <v>0</v>
      </c>
      <c r="AC123" s="6">
        <f>$M$123*$W$123</f>
        <v>36399.113000000005</v>
      </c>
      <c r="AD123" s="6">
        <f>$O$123*$X$123</f>
        <v>23464.352200000001</v>
      </c>
      <c r="AE123" s="6">
        <f>$K$123*$Y$123</f>
        <v>0</v>
      </c>
      <c r="AF123" s="6">
        <f ca="1">$M$123*$Z$123</f>
        <v>45974.547491628837</v>
      </c>
      <c r="AG123" s="6">
        <f>$O$123*$AA$123</f>
        <v>18168.883791281442</v>
      </c>
    </row>
    <row r="124" spans="1:33" ht="11.25" customHeight="1" x14ac:dyDescent="0.25">
      <c r="A124" s="4" t="s">
        <v>27</v>
      </c>
      <c r="B124" s="4" t="s">
        <v>28</v>
      </c>
      <c r="C124" s="4" t="s">
        <v>23</v>
      </c>
      <c r="D124" s="4" t="s">
        <v>29</v>
      </c>
      <c r="E124" s="4" t="s">
        <v>25</v>
      </c>
      <c r="F124" s="4" t="s">
        <v>25</v>
      </c>
      <c r="G124" s="4" t="s">
        <v>25</v>
      </c>
      <c r="H124" s="4" t="s">
        <v>25</v>
      </c>
      <c r="I124" s="5">
        <v>44621</v>
      </c>
      <c r="J124" s="6">
        <v>0</v>
      </c>
      <c r="K124" s="6">
        <v>0</v>
      </c>
      <c r="L124" s="6">
        <v>27.481999999999999</v>
      </c>
      <c r="M124" s="6">
        <v>27.481999999999999</v>
      </c>
      <c r="N124" s="6">
        <v>27.481999999999999</v>
      </c>
      <c r="O124" s="6">
        <v>27.481999999999999</v>
      </c>
      <c r="P124" s="6">
        <v>11</v>
      </c>
      <c r="Q124" s="4" t="s">
        <v>26</v>
      </c>
      <c r="R124" s="4">
        <v>0</v>
      </c>
      <c r="S124" s="6">
        <v>0</v>
      </c>
      <c r="T124" s="6">
        <v>42</v>
      </c>
      <c r="U124" s="6">
        <v>50</v>
      </c>
      <c r="V124" s="6">
        <f>IF(ISERROR(VLOOKUP($S$124,'TAR FIN'!$A$1:$O$73,15,0)),0,VLOOKUP($S$124,'TAR FIN'!$A$1:$O$73,15,0))</f>
        <v>0</v>
      </c>
      <c r="W124" s="6">
        <f>IF(ISERROR(VLOOKUP($T$124,'TAR FIN'!$A$1:$O$73,15,0)),0,VLOOKUP($T$124,'TAR FIN'!$A$1:$O$73,15,0))</f>
        <v>384.85</v>
      </c>
      <c r="X124" s="6">
        <f>IF(ISERROR(VLOOKUP($U$124,'TAR FIN'!$A$1:$O$73,15,0)),0,VLOOKUP($U$124,'TAR FIN'!$A$1:$O$73,15,0))</f>
        <v>248.09</v>
      </c>
      <c r="Y124" s="6"/>
      <c r="Z124" s="6">
        <f ca="1">('TUSD BE'!$AM$48+'TUSD BF'!$AM$48+'TUSD CVA'!$AM$48)*1</f>
        <v>486.0916419076849</v>
      </c>
      <c r="AA124" s="6">
        <f>('TE BE'!$AB$38+'TE BF'!$AB$38+'TE CVA'!$AB$38)*1</f>
        <v>192.10069561515587</v>
      </c>
      <c r="AB124" s="6">
        <f>$K$124*$V$124</f>
        <v>0</v>
      </c>
      <c r="AC124" s="6">
        <f>$M$124*$W$124</f>
        <v>10576.447700000001</v>
      </c>
      <c r="AD124" s="6">
        <f>$O$124*$X$124</f>
        <v>6818.0093799999995</v>
      </c>
      <c r="AE124" s="6">
        <f>$K$124*$Y$124</f>
        <v>0</v>
      </c>
      <c r="AF124" s="6">
        <f ca="1">$M$124*$Z$124</f>
        <v>13358.770502906997</v>
      </c>
      <c r="AG124" s="6">
        <f>$O$124*$AA$124</f>
        <v>5279.3113168957134</v>
      </c>
    </row>
    <row r="125" spans="1:33" ht="11.25" customHeight="1" x14ac:dyDescent="0.25">
      <c r="A125" s="4" t="s">
        <v>21</v>
      </c>
      <c r="B125" s="4" t="s">
        <v>28</v>
      </c>
      <c r="C125" s="4" t="s">
        <v>23</v>
      </c>
      <c r="D125" s="4" t="s">
        <v>29</v>
      </c>
      <c r="E125" s="4" t="s">
        <v>25</v>
      </c>
      <c r="F125" s="4" t="s">
        <v>25</v>
      </c>
      <c r="G125" s="4" t="s">
        <v>25</v>
      </c>
      <c r="H125" s="4" t="s">
        <v>25</v>
      </c>
      <c r="I125" s="5">
        <v>44652</v>
      </c>
      <c r="J125" s="6">
        <v>0</v>
      </c>
      <c r="K125" s="6">
        <v>0</v>
      </c>
      <c r="L125" s="6">
        <v>95.132000000000005</v>
      </c>
      <c r="M125" s="6">
        <v>95.132000000000005</v>
      </c>
      <c r="N125" s="6">
        <v>95.132000000000005</v>
      </c>
      <c r="O125" s="6">
        <v>95.132000000000005</v>
      </c>
      <c r="P125" s="6">
        <v>39</v>
      </c>
      <c r="Q125" s="4" t="s">
        <v>26</v>
      </c>
      <c r="R125" s="4">
        <v>0</v>
      </c>
      <c r="S125" s="6">
        <v>0</v>
      </c>
      <c r="T125" s="6">
        <v>42</v>
      </c>
      <c r="U125" s="6">
        <v>50</v>
      </c>
      <c r="V125" s="6">
        <f>IF(ISERROR(VLOOKUP($S$125,'TAR FIN'!$A$1:$O$73,15,0)),0,VLOOKUP($S$125,'TAR FIN'!$A$1:$O$73,15,0))</f>
        <v>0</v>
      </c>
      <c r="W125" s="6">
        <f>IF(ISERROR(VLOOKUP($T$125,'TAR FIN'!$A$1:$O$73,15,0)),0,VLOOKUP($T$125,'TAR FIN'!$A$1:$O$73,15,0))</f>
        <v>384.85</v>
      </c>
      <c r="X125" s="6">
        <f>IF(ISERROR(VLOOKUP($U$125,'TAR FIN'!$A$1:$O$73,15,0)),0,VLOOKUP($U$125,'TAR FIN'!$A$1:$O$73,15,0))</f>
        <v>248.09</v>
      </c>
      <c r="Y125" s="6"/>
      <c r="Z125" s="6">
        <f ca="1">('TUSD BE'!$AM$48+'TUSD BF'!$AM$48+'TUSD CVA'!$AM$48)*1</f>
        <v>486.0916419076849</v>
      </c>
      <c r="AA125" s="6">
        <f>('TE BE'!$AB$38+'TE BF'!$AB$38+'TE CVA'!$AB$38)*1</f>
        <v>192.10069561515587</v>
      </c>
      <c r="AB125" s="6">
        <f>$K$125*$V$125</f>
        <v>0</v>
      </c>
      <c r="AC125" s="6">
        <f>$M$125*$W$125</f>
        <v>36611.550200000005</v>
      </c>
      <c r="AD125" s="6">
        <f>$O$125*$X$125</f>
        <v>23601.297880000002</v>
      </c>
      <c r="AE125" s="6">
        <f>$K$125*$Y$125</f>
        <v>0</v>
      </c>
      <c r="AF125" s="6">
        <f ca="1">$M$125*$Z$125</f>
        <v>46242.870077961881</v>
      </c>
      <c r="AG125" s="6">
        <f>$O$125*$AA$125</f>
        <v>18274.923375261009</v>
      </c>
    </row>
    <row r="126" spans="1:33" ht="11.25" customHeight="1" x14ac:dyDescent="0.25">
      <c r="A126" s="4" t="s">
        <v>27</v>
      </c>
      <c r="B126" s="4" t="s">
        <v>28</v>
      </c>
      <c r="C126" s="4" t="s">
        <v>23</v>
      </c>
      <c r="D126" s="4" t="s">
        <v>29</v>
      </c>
      <c r="E126" s="4" t="s">
        <v>25</v>
      </c>
      <c r="F126" s="4" t="s">
        <v>25</v>
      </c>
      <c r="G126" s="4" t="s">
        <v>25</v>
      </c>
      <c r="H126" s="4" t="s">
        <v>25</v>
      </c>
      <c r="I126" s="5">
        <v>44652</v>
      </c>
      <c r="J126" s="6">
        <v>0</v>
      </c>
      <c r="K126" s="6">
        <v>0</v>
      </c>
      <c r="L126" s="6">
        <v>25.611000000000001</v>
      </c>
      <c r="M126" s="6">
        <v>25.611000000000001</v>
      </c>
      <c r="N126" s="6">
        <v>25.611000000000001</v>
      </c>
      <c r="O126" s="6">
        <v>25.611000000000001</v>
      </c>
      <c r="P126" s="6">
        <v>11</v>
      </c>
      <c r="Q126" s="4" t="s">
        <v>26</v>
      </c>
      <c r="R126" s="4">
        <v>0</v>
      </c>
      <c r="S126" s="6">
        <v>0</v>
      </c>
      <c r="T126" s="6">
        <v>42</v>
      </c>
      <c r="U126" s="6">
        <v>50</v>
      </c>
      <c r="V126" s="6">
        <f>IF(ISERROR(VLOOKUP($S$126,'TAR FIN'!$A$1:$O$73,15,0)),0,VLOOKUP($S$126,'TAR FIN'!$A$1:$O$73,15,0))</f>
        <v>0</v>
      </c>
      <c r="W126" s="6">
        <f>IF(ISERROR(VLOOKUP($T$126,'TAR FIN'!$A$1:$O$73,15,0)),0,VLOOKUP($T$126,'TAR FIN'!$A$1:$O$73,15,0))</f>
        <v>384.85</v>
      </c>
      <c r="X126" s="6">
        <f>IF(ISERROR(VLOOKUP($U$126,'TAR FIN'!$A$1:$O$73,15,0)),0,VLOOKUP($U$126,'TAR FIN'!$A$1:$O$73,15,0))</f>
        <v>248.09</v>
      </c>
      <c r="Y126" s="6"/>
      <c r="Z126" s="6">
        <f ca="1">('TUSD BE'!$AM$48+'TUSD BF'!$AM$48+'TUSD CVA'!$AM$48)*1</f>
        <v>486.0916419076849</v>
      </c>
      <c r="AA126" s="6">
        <f>('TE BE'!$AB$38+'TE BF'!$AB$38+'TE CVA'!$AB$38)*1</f>
        <v>192.10069561515587</v>
      </c>
      <c r="AB126" s="6">
        <f>$K$126*$V$126</f>
        <v>0</v>
      </c>
      <c r="AC126" s="6">
        <f>$M$126*$W$126</f>
        <v>9856.3933500000003</v>
      </c>
      <c r="AD126" s="6">
        <f>$O$126*$X$126</f>
        <v>6353.8329899999999</v>
      </c>
      <c r="AE126" s="6">
        <f>$K$126*$Y$126</f>
        <v>0</v>
      </c>
      <c r="AF126" s="6">
        <f ca="1">$M$126*$Z$126</f>
        <v>12449.293040897719</v>
      </c>
      <c r="AG126" s="6">
        <f>$O$126*$AA$126</f>
        <v>4919.8909153997574</v>
      </c>
    </row>
    <row r="127" spans="1:33" ht="11.25" customHeight="1" x14ac:dyDescent="0.25">
      <c r="A127" s="4" t="s">
        <v>21</v>
      </c>
      <c r="B127" s="4" t="s">
        <v>28</v>
      </c>
      <c r="C127" s="4" t="s">
        <v>23</v>
      </c>
      <c r="D127" s="4" t="s">
        <v>29</v>
      </c>
      <c r="E127" s="4" t="s">
        <v>25</v>
      </c>
      <c r="F127" s="4" t="s">
        <v>25</v>
      </c>
      <c r="G127" s="4" t="s">
        <v>25</v>
      </c>
      <c r="H127" s="4" t="s">
        <v>25</v>
      </c>
      <c r="I127" s="5">
        <v>44682</v>
      </c>
      <c r="J127" s="6">
        <v>0</v>
      </c>
      <c r="K127" s="6">
        <v>0</v>
      </c>
      <c r="L127" s="6">
        <v>101.538</v>
      </c>
      <c r="M127" s="6">
        <v>101.538</v>
      </c>
      <c r="N127" s="6">
        <v>101.538</v>
      </c>
      <c r="O127" s="6">
        <v>101.538</v>
      </c>
      <c r="P127" s="6">
        <v>39</v>
      </c>
      <c r="Q127" s="4" t="s">
        <v>26</v>
      </c>
      <c r="R127" s="4">
        <v>0</v>
      </c>
      <c r="S127" s="6">
        <v>0</v>
      </c>
      <c r="T127" s="6">
        <v>42</v>
      </c>
      <c r="U127" s="6">
        <v>50</v>
      </c>
      <c r="V127" s="6">
        <f>IF(ISERROR(VLOOKUP($S$127,'TAR FIN'!$A$1:$O$73,15,0)),0,VLOOKUP($S$127,'TAR FIN'!$A$1:$O$73,15,0))</f>
        <v>0</v>
      </c>
      <c r="W127" s="6">
        <f>IF(ISERROR(VLOOKUP($T$127,'TAR FIN'!$A$1:$O$73,15,0)),0,VLOOKUP($T$127,'TAR FIN'!$A$1:$O$73,15,0))</f>
        <v>384.85</v>
      </c>
      <c r="X127" s="6">
        <f>IF(ISERROR(VLOOKUP($U$127,'TAR FIN'!$A$1:$O$73,15,0)),0,VLOOKUP($U$127,'TAR FIN'!$A$1:$O$73,15,0))</f>
        <v>248.09</v>
      </c>
      <c r="Y127" s="6"/>
      <c r="Z127" s="6">
        <f ca="1">('TUSD BE'!$AM$48+'TUSD BF'!$AM$48+'TUSD CVA'!$AM$48)*1</f>
        <v>486.0916419076849</v>
      </c>
      <c r="AA127" s="6">
        <f>('TE BE'!$AB$38+'TE BF'!$AB$38+'TE CVA'!$AB$38)*1</f>
        <v>192.10069561515587</v>
      </c>
      <c r="AB127" s="6">
        <f>$K$127*$V$127</f>
        <v>0</v>
      </c>
      <c r="AC127" s="6">
        <f>$M$127*$W$127</f>
        <v>39076.899300000005</v>
      </c>
      <c r="AD127" s="6">
        <f>$O$127*$X$127</f>
        <v>25190.562419999998</v>
      </c>
      <c r="AE127" s="6">
        <f>$K$127*$Y$127</f>
        <v>0</v>
      </c>
      <c r="AF127" s="6">
        <f ca="1">$M$127*$Z$127</f>
        <v>49356.773136022508</v>
      </c>
      <c r="AG127" s="6">
        <f>$O$127*$AA$127</f>
        <v>19505.520431371697</v>
      </c>
    </row>
    <row r="128" spans="1:33" ht="11.25" customHeight="1" x14ac:dyDescent="0.25">
      <c r="A128" s="4" t="s">
        <v>27</v>
      </c>
      <c r="B128" s="4" t="s">
        <v>28</v>
      </c>
      <c r="C128" s="4" t="s">
        <v>23</v>
      </c>
      <c r="D128" s="4" t="s">
        <v>29</v>
      </c>
      <c r="E128" s="4" t="s">
        <v>25</v>
      </c>
      <c r="F128" s="4" t="s">
        <v>25</v>
      </c>
      <c r="G128" s="4" t="s">
        <v>25</v>
      </c>
      <c r="H128" s="4" t="s">
        <v>25</v>
      </c>
      <c r="I128" s="5">
        <v>44682</v>
      </c>
      <c r="J128" s="6">
        <v>0</v>
      </c>
      <c r="K128" s="6">
        <v>0</v>
      </c>
      <c r="L128" s="6">
        <v>28.706</v>
      </c>
      <c r="M128" s="6">
        <v>28.706</v>
      </c>
      <c r="N128" s="6">
        <v>28.706</v>
      </c>
      <c r="O128" s="6">
        <v>28.706</v>
      </c>
      <c r="P128" s="6">
        <v>12</v>
      </c>
      <c r="Q128" s="4" t="s">
        <v>26</v>
      </c>
      <c r="R128" s="4">
        <v>0</v>
      </c>
      <c r="S128" s="6">
        <v>0</v>
      </c>
      <c r="T128" s="6">
        <v>42</v>
      </c>
      <c r="U128" s="6">
        <v>50</v>
      </c>
      <c r="V128" s="6">
        <f>IF(ISERROR(VLOOKUP($S$128,'TAR FIN'!$A$1:$O$73,15,0)),0,VLOOKUP($S$128,'TAR FIN'!$A$1:$O$73,15,0))</f>
        <v>0</v>
      </c>
      <c r="W128" s="6">
        <f>IF(ISERROR(VLOOKUP($T$128,'TAR FIN'!$A$1:$O$73,15,0)),0,VLOOKUP($T$128,'TAR FIN'!$A$1:$O$73,15,0))</f>
        <v>384.85</v>
      </c>
      <c r="X128" s="6">
        <f>IF(ISERROR(VLOOKUP($U$128,'TAR FIN'!$A$1:$O$73,15,0)),0,VLOOKUP($U$128,'TAR FIN'!$A$1:$O$73,15,0))</f>
        <v>248.09</v>
      </c>
      <c r="Y128" s="6"/>
      <c r="Z128" s="6">
        <f ca="1">('TUSD BE'!$AM$48+'TUSD BF'!$AM$48+'TUSD CVA'!$AM$48)*1</f>
        <v>486.0916419076849</v>
      </c>
      <c r="AA128" s="6">
        <f>('TE BE'!$AB$38+'TE BF'!$AB$38+'TE CVA'!$AB$38)*1</f>
        <v>192.10069561515587</v>
      </c>
      <c r="AB128" s="6">
        <f>$K$128*$V$128</f>
        <v>0</v>
      </c>
      <c r="AC128" s="6">
        <f>$M$128*$W$128</f>
        <v>11047.5041</v>
      </c>
      <c r="AD128" s="6">
        <f>$O$128*$X$128</f>
        <v>7121.6715400000003</v>
      </c>
      <c r="AE128" s="6">
        <f>$K$128*$Y$128</f>
        <v>0</v>
      </c>
      <c r="AF128" s="6">
        <f ca="1">$M$128*$Z$128</f>
        <v>13953.746672602003</v>
      </c>
      <c r="AG128" s="6">
        <f>$O$128*$AA$128</f>
        <v>5514.4425683286645</v>
      </c>
    </row>
    <row r="129" spans="1:33" ht="11.25" customHeight="1" x14ac:dyDescent="0.25">
      <c r="A129" s="4" t="s">
        <v>21</v>
      </c>
      <c r="B129" s="4" t="s">
        <v>28</v>
      </c>
      <c r="C129" s="4" t="s">
        <v>23</v>
      </c>
      <c r="D129" s="4" t="s">
        <v>29</v>
      </c>
      <c r="E129" s="4" t="s">
        <v>25</v>
      </c>
      <c r="F129" s="4" t="s">
        <v>25</v>
      </c>
      <c r="G129" s="4" t="s">
        <v>25</v>
      </c>
      <c r="H129" s="4" t="s">
        <v>25</v>
      </c>
      <c r="I129" s="5">
        <v>44713</v>
      </c>
      <c r="J129" s="6">
        <v>0</v>
      </c>
      <c r="K129" s="6">
        <v>0</v>
      </c>
      <c r="L129" s="6">
        <v>105.83799999999999</v>
      </c>
      <c r="M129" s="6">
        <v>105.83799999999999</v>
      </c>
      <c r="N129" s="6">
        <v>105.83799999999999</v>
      </c>
      <c r="O129" s="6">
        <v>105.83799999999999</v>
      </c>
      <c r="P129" s="6">
        <v>39</v>
      </c>
      <c r="Q129" s="4" t="s">
        <v>26</v>
      </c>
      <c r="R129" s="4">
        <v>0</v>
      </c>
      <c r="S129" s="6">
        <v>0</v>
      </c>
      <c r="T129" s="6">
        <v>42</v>
      </c>
      <c r="U129" s="6">
        <v>50</v>
      </c>
      <c r="V129" s="6">
        <f>IF(ISERROR(VLOOKUP($S$129,'TAR FIN'!$A$1:$O$73,15,0)),0,VLOOKUP($S$129,'TAR FIN'!$A$1:$O$73,15,0))</f>
        <v>0</v>
      </c>
      <c r="W129" s="6">
        <f>IF(ISERROR(VLOOKUP($T$129,'TAR FIN'!$A$1:$O$73,15,0)),0,VLOOKUP($T$129,'TAR FIN'!$A$1:$O$73,15,0))</f>
        <v>384.85</v>
      </c>
      <c r="X129" s="6">
        <f>IF(ISERROR(VLOOKUP($U$129,'TAR FIN'!$A$1:$O$73,15,0)),0,VLOOKUP($U$129,'TAR FIN'!$A$1:$O$73,15,0))</f>
        <v>248.09</v>
      </c>
      <c r="Y129" s="6"/>
      <c r="Z129" s="6">
        <f ca="1">('TUSD BE'!$AM$48+'TUSD BF'!$AM$48+'TUSD CVA'!$AM$48)*1</f>
        <v>486.0916419076849</v>
      </c>
      <c r="AA129" s="6">
        <f>('TE BE'!$AB$38+'TE BF'!$AB$38+'TE CVA'!$AB$38)*1</f>
        <v>192.10069561515587</v>
      </c>
      <c r="AB129" s="6">
        <f>$K$129*$V$129</f>
        <v>0</v>
      </c>
      <c r="AC129" s="6">
        <f>$M$129*$W$129</f>
        <v>40731.754300000001</v>
      </c>
      <c r="AD129" s="6">
        <f>$O$129*$X$129</f>
        <v>26257.349419999999</v>
      </c>
      <c r="AE129" s="6">
        <f>$K$129*$Y$129</f>
        <v>0</v>
      </c>
      <c r="AF129" s="6">
        <f ca="1">$M$129*$Z$129</f>
        <v>51446.967196225552</v>
      </c>
      <c r="AG129" s="6">
        <f>$O$129*$AA$129</f>
        <v>20331.553422516867</v>
      </c>
    </row>
    <row r="130" spans="1:33" ht="11.25" customHeight="1" x14ac:dyDescent="0.25">
      <c r="A130" s="4" t="s">
        <v>27</v>
      </c>
      <c r="B130" s="4" t="s">
        <v>28</v>
      </c>
      <c r="C130" s="4" t="s">
        <v>23</v>
      </c>
      <c r="D130" s="4" t="s">
        <v>29</v>
      </c>
      <c r="E130" s="4" t="s">
        <v>25</v>
      </c>
      <c r="F130" s="4" t="s">
        <v>25</v>
      </c>
      <c r="G130" s="4" t="s">
        <v>25</v>
      </c>
      <c r="H130" s="4" t="s">
        <v>25</v>
      </c>
      <c r="I130" s="5">
        <v>44713</v>
      </c>
      <c r="J130" s="6">
        <v>0</v>
      </c>
      <c r="K130" s="6">
        <v>0</v>
      </c>
      <c r="L130" s="6">
        <v>24.542999999999999</v>
      </c>
      <c r="M130" s="6">
        <v>24.542999999999999</v>
      </c>
      <c r="N130" s="6">
        <v>24.542999999999999</v>
      </c>
      <c r="O130" s="6">
        <v>24.542999999999999</v>
      </c>
      <c r="P130" s="6">
        <v>12</v>
      </c>
      <c r="Q130" s="4" t="s">
        <v>26</v>
      </c>
      <c r="R130" s="4">
        <v>0</v>
      </c>
      <c r="S130" s="6">
        <v>0</v>
      </c>
      <c r="T130" s="6">
        <v>42</v>
      </c>
      <c r="U130" s="6">
        <v>50</v>
      </c>
      <c r="V130" s="6">
        <f>IF(ISERROR(VLOOKUP($S$130,'TAR FIN'!$A$1:$O$73,15,0)),0,VLOOKUP($S$130,'TAR FIN'!$A$1:$O$73,15,0))</f>
        <v>0</v>
      </c>
      <c r="W130" s="6">
        <f>IF(ISERROR(VLOOKUP($T$130,'TAR FIN'!$A$1:$O$73,15,0)),0,VLOOKUP($T$130,'TAR FIN'!$A$1:$O$73,15,0))</f>
        <v>384.85</v>
      </c>
      <c r="X130" s="6">
        <f>IF(ISERROR(VLOOKUP($U$130,'TAR FIN'!$A$1:$O$73,15,0)),0,VLOOKUP($U$130,'TAR FIN'!$A$1:$O$73,15,0))</f>
        <v>248.09</v>
      </c>
      <c r="Y130" s="6"/>
      <c r="Z130" s="6">
        <f ca="1">('TUSD BE'!$AM$48+'TUSD BF'!$AM$48+'TUSD CVA'!$AM$48)*1</f>
        <v>486.0916419076849</v>
      </c>
      <c r="AA130" s="6">
        <f>('TE BE'!$AB$38+'TE BF'!$AB$38+'TE CVA'!$AB$38)*1</f>
        <v>192.10069561515587</v>
      </c>
      <c r="AB130" s="6">
        <f>$K$130*$V$130</f>
        <v>0</v>
      </c>
      <c r="AC130" s="6">
        <f>$M$130*$W$130</f>
        <v>9445.3735500000003</v>
      </c>
      <c r="AD130" s="6">
        <f>$O$130*$X$130</f>
        <v>6088.8728700000001</v>
      </c>
      <c r="AE130" s="6">
        <f>$K$130*$Y$130</f>
        <v>0</v>
      </c>
      <c r="AF130" s="6">
        <f ca="1">$M$130*$Z$130</f>
        <v>11930.14716734031</v>
      </c>
      <c r="AG130" s="6">
        <f>$O$130*$AA$130</f>
        <v>4714.7273724827701</v>
      </c>
    </row>
    <row r="131" spans="1:33" ht="11.25" customHeight="1" x14ac:dyDescent="0.25">
      <c r="A131" s="4" t="s">
        <v>21</v>
      </c>
      <c r="B131" s="4" t="s">
        <v>28</v>
      </c>
      <c r="C131" s="4" t="s">
        <v>23</v>
      </c>
      <c r="D131" s="4" t="s">
        <v>29</v>
      </c>
      <c r="E131" s="4" t="s">
        <v>25</v>
      </c>
      <c r="F131" s="4" t="s">
        <v>25</v>
      </c>
      <c r="G131" s="4" t="s">
        <v>25</v>
      </c>
      <c r="H131" s="4" t="s">
        <v>25</v>
      </c>
      <c r="I131" s="5">
        <v>44743</v>
      </c>
      <c r="J131" s="6">
        <v>0</v>
      </c>
      <c r="K131" s="6">
        <v>0</v>
      </c>
      <c r="L131" s="6">
        <v>105.145</v>
      </c>
      <c r="M131" s="6">
        <v>105.145</v>
      </c>
      <c r="N131" s="6">
        <v>105.145</v>
      </c>
      <c r="O131" s="6">
        <v>105.145</v>
      </c>
      <c r="P131" s="6">
        <v>39</v>
      </c>
      <c r="Q131" s="4" t="s">
        <v>26</v>
      </c>
      <c r="R131" s="4">
        <v>0</v>
      </c>
      <c r="S131" s="6">
        <v>0</v>
      </c>
      <c r="T131" s="6">
        <v>42</v>
      </c>
      <c r="U131" s="6">
        <v>50</v>
      </c>
      <c r="V131" s="6">
        <f>IF(ISERROR(VLOOKUP($S$131,'TAR FIN'!$A$1:$O$73,15,0)),0,VLOOKUP($S$131,'TAR FIN'!$A$1:$O$73,15,0))</f>
        <v>0</v>
      </c>
      <c r="W131" s="6">
        <f>IF(ISERROR(VLOOKUP($T$131,'TAR FIN'!$A$1:$O$73,15,0)),0,VLOOKUP($T$131,'TAR FIN'!$A$1:$O$73,15,0))</f>
        <v>384.85</v>
      </c>
      <c r="X131" s="6">
        <f>IF(ISERROR(VLOOKUP($U$131,'TAR FIN'!$A$1:$O$73,15,0)),0,VLOOKUP($U$131,'TAR FIN'!$A$1:$O$73,15,0))</f>
        <v>248.09</v>
      </c>
      <c r="Y131" s="6"/>
      <c r="Z131" s="6">
        <f ca="1">('TUSD BE'!$AM$48+'TUSD BF'!$AM$48+'TUSD CVA'!$AM$48)*1</f>
        <v>486.0916419076849</v>
      </c>
      <c r="AA131" s="6">
        <f>('TE BE'!$AB$38+'TE BF'!$AB$38+'TE CVA'!$AB$38)*1</f>
        <v>192.10069561515587</v>
      </c>
      <c r="AB131" s="6">
        <f>$K$131*$V$131</f>
        <v>0</v>
      </c>
      <c r="AC131" s="6">
        <f>$M$131*$W$131</f>
        <v>40465.053250000004</v>
      </c>
      <c r="AD131" s="6">
        <f>$O$131*$X$131</f>
        <v>26085.423049999998</v>
      </c>
      <c r="AE131" s="6">
        <f>$K$131*$Y$131</f>
        <v>0</v>
      </c>
      <c r="AF131" s="6">
        <f ca="1">$M$131*$Z$131</f>
        <v>51110.105688383526</v>
      </c>
      <c r="AG131" s="6">
        <f>$O$131*$AA$131</f>
        <v>20198.427640455564</v>
      </c>
    </row>
    <row r="132" spans="1:33" ht="11.25" customHeight="1" x14ac:dyDescent="0.25">
      <c r="A132" s="4" t="s">
        <v>27</v>
      </c>
      <c r="B132" s="4" t="s">
        <v>28</v>
      </c>
      <c r="C132" s="4" t="s">
        <v>23</v>
      </c>
      <c r="D132" s="4" t="s">
        <v>29</v>
      </c>
      <c r="E132" s="4" t="s">
        <v>25</v>
      </c>
      <c r="F132" s="4" t="s">
        <v>25</v>
      </c>
      <c r="G132" s="4" t="s">
        <v>25</v>
      </c>
      <c r="H132" s="4" t="s">
        <v>25</v>
      </c>
      <c r="I132" s="5">
        <v>44743</v>
      </c>
      <c r="J132" s="6">
        <v>0</v>
      </c>
      <c r="K132" s="6">
        <v>0</v>
      </c>
      <c r="L132" s="6">
        <v>22.960999999999999</v>
      </c>
      <c r="M132" s="6">
        <v>22.960999999999999</v>
      </c>
      <c r="N132" s="6">
        <v>22.960999999999999</v>
      </c>
      <c r="O132" s="6">
        <v>22.960999999999999</v>
      </c>
      <c r="P132" s="6">
        <v>12</v>
      </c>
      <c r="Q132" s="4" t="s">
        <v>26</v>
      </c>
      <c r="R132" s="4">
        <v>0</v>
      </c>
      <c r="S132" s="6">
        <v>0</v>
      </c>
      <c r="T132" s="6">
        <v>42</v>
      </c>
      <c r="U132" s="6">
        <v>50</v>
      </c>
      <c r="V132" s="6">
        <f>IF(ISERROR(VLOOKUP($S$132,'TAR FIN'!$A$1:$O$73,15,0)),0,VLOOKUP($S$132,'TAR FIN'!$A$1:$O$73,15,0))</f>
        <v>0</v>
      </c>
      <c r="W132" s="6">
        <f>IF(ISERROR(VLOOKUP($T$132,'TAR FIN'!$A$1:$O$73,15,0)),0,VLOOKUP($T$132,'TAR FIN'!$A$1:$O$73,15,0))</f>
        <v>384.85</v>
      </c>
      <c r="X132" s="6">
        <f>IF(ISERROR(VLOOKUP($U$132,'TAR FIN'!$A$1:$O$73,15,0)),0,VLOOKUP($U$132,'TAR FIN'!$A$1:$O$73,15,0))</f>
        <v>248.09</v>
      </c>
      <c r="Y132" s="6"/>
      <c r="Z132" s="6">
        <f ca="1">('TUSD BE'!$AM$48+'TUSD BF'!$AM$48+'TUSD CVA'!$AM$48)*1</f>
        <v>486.0916419076849</v>
      </c>
      <c r="AA132" s="6">
        <f>('TE BE'!$AB$38+'TE BF'!$AB$38+'TE CVA'!$AB$38)*1</f>
        <v>192.10069561515587</v>
      </c>
      <c r="AB132" s="6">
        <f>$K$132*$V$132</f>
        <v>0</v>
      </c>
      <c r="AC132" s="6">
        <f>$M$132*$W$132</f>
        <v>8836.5408499999994</v>
      </c>
      <c r="AD132" s="6">
        <f>$O$132*$X$132</f>
        <v>5696.3944899999997</v>
      </c>
      <c r="AE132" s="6">
        <f>$K$132*$Y$132</f>
        <v>0</v>
      </c>
      <c r="AF132" s="6">
        <f ca="1">$M$132*$Z$132</f>
        <v>11161.150189842352</v>
      </c>
      <c r="AG132" s="6">
        <f>$O$132*$AA$132</f>
        <v>4410.8240720195936</v>
      </c>
    </row>
    <row r="133" spans="1:33" ht="11.25" customHeight="1" x14ac:dyDescent="0.25">
      <c r="A133" s="4" t="s">
        <v>21</v>
      </c>
      <c r="B133" s="4" t="s">
        <v>28</v>
      </c>
      <c r="C133" s="4" t="s">
        <v>23</v>
      </c>
      <c r="D133" s="4" t="s">
        <v>29</v>
      </c>
      <c r="E133" s="4" t="s">
        <v>25</v>
      </c>
      <c r="F133" s="4" t="s">
        <v>25</v>
      </c>
      <c r="G133" s="4" t="s">
        <v>25</v>
      </c>
      <c r="H133" s="4" t="s">
        <v>25</v>
      </c>
      <c r="I133" s="5">
        <v>44774</v>
      </c>
      <c r="J133" s="6">
        <v>0</v>
      </c>
      <c r="K133" s="6">
        <v>0</v>
      </c>
      <c r="L133" s="6">
        <v>111.16500000000001</v>
      </c>
      <c r="M133" s="6">
        <v>111.16500000000001</v>
      </c>
      <c r="N133" s="6">
        <v>111.16500000000001</v>
      </c>
      <c r="O133" s="6">
        <v>111.16500000000001</v>
      </c>
      <c r="P133" s="6">
        <v>39</v>
      </c>
      <c r="Q133" s="4" t="s">
        <v>26</v>
      </c>
      <c r="R133" s="4">
        <v>0</v>
      </c>
      <c r="S133" s="6">
        <v>0</v>
      </c>
      <c r="T133" s="6">
        <v>42</v>
      </c>
      <c r="U133" s="6">
        <v>50</v>
      </c>
      <c r="V133" s="6">
        <f>IF(ISERROR(VLOOKUP($S$133,'TAR FIN'!$A$1:$O$73,15,0)),0,VLOOKUP($S$133,'TAR FIN'!$A$1:$O$73,15,0))</f>
        <v>0</v>
      </c>
      <c r="W133" s="6">
        <f>IF(ISERROR(VLOOKUP($T$133,'TAR FIN'!$A$1:$O$73,15,0)),0,VLOOKUP($T$133,'TAR FIN'!$A$1:$O$73,15,0))</f>
        <v>384.85</v>
      </c>
      <c r="X133" s="6">
        <f>IF(ISERROR(VLOOKUP($U$133,'TAR FIN'!$A$1:$O$73,15,0)),0,VLOOKUP($U$133,'TAR FIN'!$A$1:$O$73,15,0))</f>
        <v>248.09</v>
      </c>
      <c r="Y133" s="6"/>
      <c r="Z133" s="6">
        <f ca="1">('TUSD BE'!$AM$48+'TUSD BF'!$AM$48+'TUSD CVA'!$AM$48)*1</f>
        <v>486.0916419076849</v>
      </c>
      <c r="AA133" s="6">
        <f>('TE BE'!$AB$38+'TE BF'!$AB$38+'TE CVA'!$AB$38)*1</f>
        <v>192.10069561515587</v>
      </c>
      <c r="AB133" s="6">
        <f>$K$133*$V$133</f>
        <v>0</v>
      </c>
      <c r="AC133" s="6">
        <f>$M$133*$W$133</f>
        <v>42781.850250000003</v>
      </c>
      <c r="AD133" s="6">
        <f>$O$133*$X$133</f>
        <v>27578.924850000003</v>
      </c>
      <c r="AE133" s="6">
        <f>$K$133*$Y$133</f>
        <v>0</v>
      </c>
      <c r="AF133" s="6">
        <f ca="1">$M$133*$Z$133</f>
        <v>54036.377372667797</v>
      </c>
      <c r="AG133" s="6">
        <f>$O$133*$AA$133</f>
        <v>21354.873828058804</v>
      </c>
    </row>
    <row r="134" spans="1:33" ht="11.25" customHeight="1" x14ac:dyDescent="0.25">
      <c r="A134" s="4" t="s">
        <v>27</v>
      </c>
      <c r="B134" s="4" t="s">
        <v>28</v>
      </c>
      <c r="C134" s="4" t="s">
        <v>23</v>
      </c>
      <c r="D134" s="4" t="s">
        <v>29</v>
      </c>
      <c r="E134" s="4" t="s">
        <v>25</v>
      </c>
      <c r="F134" s="4" t="s">
        <v>25</v>
      </c>
      <c r="G134" s="4" t="s">
        <v>25</v>
      </c>
      <c r="H134" s="4" t="s">
        <v>25</v>
      </c>
      <c r="I134" s="5">
        <v>44774</v>
      </c>
      <c r="J134" s="6">
        <v>0</v>
      </c>
      <c r="K134" s="6">
        <v>0</v>
      </c>
      <c r="L134" s="6">
        <v>23.382999999999999</v>
      </c>
      <c r="M134" s="6">
        <v>23.382999999999999</v>
      </c>
      <c r="N134" s="6">
        <v>23.382999999999999</v>
      </c>
      <c r="O134" s="6">
        <v>23.382999999999999</v>
      </c>
      <c r="P134" s="6">
        <v>12</v>
      </c>
      <c r="Q134" s="4" t="s">
        <v>26</v>
      </c>
      <c r="R134" s="4">
        <v>0</v>
      </c>
      <c r="S134" s="6">
        <v>0</v>
      </c>
      <c r="T134" s="6">
        <v>42</v>
      </c>
      <c r="U134" s="6">
        <v>50</v>
      </c>
      <c r="V134" s="6">
        <f>IF(ISERROR(VLOOKUP($S$134,'TAR FIN'!$A$1:$O$73,15,0)),0,VLOOKUP($S$134,'TAR FIN'!$A$1:$O$73,15,0))</f>
        <v>0</v>
      </c>
      <c r="W134" s="6">
        <f>IF(ISERROR(VLOOKUP($T$134,'TAR FIN'!$A$1:$O$73,15,0)),0,VLOOKUP($T$134,'TAR FIN'!$A$1:$O$73,15,0))</f>
        <v>384.85</v>
      </c>
      <c r="X134" s="6">
        <f>IF(ISERROR(VLOOKUP($U$134,'TAR FIN'!$A$1:$O$73,15,0)),0,VLOOKUP($U$134,'TAR FIN'!$A$1:$O$73,15,0))</f>
        <v>248.09</v>
      </c>
      <c r="Y134" s="6"/>
      <c r="Z134" s="6">
        <f ca="1">('TUSD BE'!$AM$48+'TUSD BF'!$AM$48+'TUSD CVA'!$AM$48)*1</f>
        <v>486.0916419076849</v>
      </c>
      <c r="AA134" s="6">
        <f>('TE BE'!$AB$38+'TE BF'!$AB$38+'TE CVA'!$AB$38)*1</f>
        <v>192.10069561515587</v>
      </c>
      <c r="AB134" s="6">
        <f>$K$134*$V$134</f>
        <v>0</v>
      </c>
      <c r="AC134" s="6">
        <f>$M$134*$W$134</f>
        <v>8998.9475500000008</v>
      </c>
      <c r="AD134" s="6">
        <f>$O$134*$X$134</f>
        <v>5801.0884699999997</v>
      </c>
      <c r="AE134" s="6">
        <f>$K$134*$Y$134</f>
        <v>0</v>
      </c>
      <c r="AF134" s="6">
        <f ca="1">$M$134*$Z$134</f>
        <v>11366.280862727395</v>
      </c>
      <c r="AG134" s="6">
        <f>$O$134*$AA$134</f>
        <v>4491.8905655691897</v>
      </c>
    </row>
    <row r="135" spans="1:33" ht="11.25" customHeight="1" x14ac:dyDescent="0.25">
      <c r="A135" s="4" t="s">
        <v>21</v>
      </c>
      <c r="B135" s="4" t="s">
        <v>28</v>
      </c>
      <c r="C135" s="4" t="s">
        <v>23</v>
      </c>
      <c r="D135" s="4" t="s">
        <v>29</v>
      </c>
      <c r="E135" s="4" t="s">
        <v>25</v>
      </c>
      <c r="F135" s="4" t="s">
        <v>25</v>
      </c>
      <c r="G135" s="4" t="s">
        <v>25</v>
      </c>
      <c r="H135" s="4" t="s">
        <v>25</v>
      </c>
      <c r="I135" s="5">
        <v>44805</v>
      </c>
      <c r="J135" s="6">
        <v>0</v>
      </c>
      <c r="K135" s="6">
        <v>0</v>
      </c>
      <c r="L135" s="6">
        <v>93.433999999999997</v>
      </c>
      <c r="M135" s="6">
        <v>93.433999999999997</v>
      </c>
      <c r="N135" s="6">
        <v>93.433999999999997</v>
      </c>
      <c r="O135" s="6">
        <v>93.433999999999997</v>
      </c>
      <c r="P135" s="6">
        <v>40</v>
      </c>
      <c r="Q135" s="4" t="s">
        <v>26</v>
      </c>
      <c r="R135" s="4">
        <v>0</v>
      </c>
      <c r="S135" s="6">
        <v>0</v>
      </c>
      <c r="T135" s="6">
        <v>42</v>
      </c>
      <c r="U135" s="6">
        <v>50</v>
      </c>
      <c r="V135" s="6">
        <f>IF(ISERROR(VLOOKUP($S$135,'TAR FIN'!$A$1:$O$73,15,0)),0,VLOOKUP($S$135,'TAR FIN'!$A$1:$O$73,15,0))</f>
        <v>0</v>
      </c>
      <c r="W135" s="6">
        <f>IF(ISERROR(VLOOKUP($T$135,'TAR FIN'!$A$1:$O$73,15,0)),0,VLOOKUP($T$135,'TAR FIN'!$A$1:$O$73,15,0))</f>
        <v>384.85</v>
      </c>
      <c r="X135" s="6">
        <f>IF(ISERROR(VLOOKUP($U$135,'TAR FIN'!$A$1:$O$73,15,0)),0,VLOOKUP($U$135,'TAR FIN'!$A$1:$O$73,15,0))</f>
        <v>248.09</v>
      </c>
      <c r="Y135" s="6"/>
      <c r="Z135" s="6">
        <f ca="1">('TUSD BE'!$AM$48+'TUSD BF'!$AM$48+'TUSD CVA'!$AM$48)*1</f>
        <v>486.0916419076849</v>
      </c>
      <c r="AA135" s="6">
        <f>('TE BE'!$AB$38+'TE BF'!$AB$38+'TE CVA'!$AB$38)*1</f>
        <v>192.10069561515587</v>
      </c>
      <c r="AB135" s="6">
        <f>$K$135*$V$135</f>
        <v>0</v>
      </c>
      <c r="AC135" s="6">
        <f>$M$135*$W$135</f>
        <v>35958.0749</v>
      </c>
      <c r="AD135" s="6">
        <f>$O$135*$X$135</f>
        <v>23180.04106</v>
      </c>
      <c r="AE135" s="6">
        <f>$K$135*$Y$135</f>
        <v>0</v>
      </c>
      <c r="AF135" s="6">
        <f ca="1">$M$135*$Z$135</f>
        <v>45417.48647000263</v>
      </c>
      <c r="AG135" s="6">
        <f>$O$135*$AA$135</f>
        <v>17948.736394106472</v>
      </c>
    </row>
    <row r="136" spans="1:33" ht="11.25" customHeight="1" x14ac:dyDescent="0.25">
      <c r="A136" s="4" t="s">
        <v>27</v>
      </c>
      <c r="B136" s="4" t="s">
        <v>28</v>
      </c>
      <c r="C136" s="4" t="s">
        <v>23</v>
      </c>
      <c r="D136" s="4" t="s">
        <v>29</v>
      </c>
      <c r="E136" s="4" t="s">
        <v>25</v>
      </c>
      <c r="F136" s="4" t="s">
        <v>25</v>
      </c>
      <c r="G136" s="4" t="s">
        <v>25</v>
      </c>
      <c r="H136" s="4" t="s">
        <v>25</v>
      </c>
      <c r="I136" s="5">
        <v>44805</v>
      </c>
      <c r="J136" s="6">
        <v>0</v>
      </c>
      <c r="K136" s="6">
        <v>0</v>
      </c>
      <c r="L136" s="6">
        <v>23.619</v>
      </c>
      <c r="M136" s="6">
        <v>23.619</v>
      </c>
      <c r="N136" s="6">
        <v>23.619</v>
      </c>
      <c r="O136" s="6">
        <v>23.619</v>
      </c>
      <c r="P136" s="6">
        <v>12</v>
      </c>
      <c r="Q136" s="4" t="s">
        <v>26</v>
      </c>
      <c r="R136" s="4">
        <v>0</v>
      </c>
      <c r="S136" s="6">
        <v>0</v>
      </c>
      <c r="T136" s="6">
        <v>42</v>
      </c>
      <c r="U136" s="6">
        <v>50</v>
      </c>
      <c r="V136" s="6">
        <f>IF(ISERROR(VLOOKUP($S$136,'TAR FIN'!$A$1:$O$73,15,0)),0,VLOOKUP($S$136,'TAR FIN'!$A$1:$O$73,15,0))</f>
        <v>0</v>
      </c>
      <c r="W136" s="6">
        <f>IF(ISERROR(VLOOKUP($T$136,'TAR FIN'!$A$1:$O$73,15,0)),0,VLOOKUP($T$136,'TAR FIN'!$A$1:$O$73,15,0))</f>
        <v>384.85</v>
      </c>
      <c r="X136" s="6">
        <f>IF(ISERROR(VLOOKUP($U$136,'TAR FIN'!$A$1:$O$73,15,0)),0,VLOOKUP($U$136,'TAR FIN'!$A$1:$O$73,15,0))</f>
        <v>248.09</v>
      </c>
      <c r="Y136" s="6"/>
      <c r="Z136" s="6">
        <f ca="1">('TUSD BE'!$AM$48+'TUSD BF'!$AM$48+'TUSD CVA'!$AM$48)*1</f>
        <v>486.0916419076849</v>
      </c>
      <c r="AA136" s="6">
        <f>('TE BE'!$AB$38+'TE BF'!$AB$38+'TE CVA'!$AB$38)*1</f>
        <v>192.10069561515587</v>
      </c>
      <c r="AB136" s="6">
        <f>$K$136*$V$136</f>
        <v>0</v>
      </c>
      <c r="AC136" s="6">
        <f>$M$136*$W$136</f>
        <v>9089.7721500000007</v>
      </c>
      <c r="AD136" s="6">
        <f>$O$136*$X$136</f>
        <v>5859.63771</v>
      </c>
      <c r="AE136" s="6">
        <f>$K$136*$Y$136</f>
        <v>0</v>
      </c>
      <c r="AF136" s="6">
        <f ca="1">$M$136*$Z$136</f>
        <v>11480.998490217609</v>
      </c>
      <c r="AG136" s="6">
        <f>$O$136*$AA$136</f>
        <v>4537.2263297343661</v>
      </c>
    </row>
    <row r="137" spans="1:33" ht="11.25" customHeight="1" x14ac:dyDescent="0.25">
      <c r="A137" s="4" t="s">
        <v>21</v>
      </c>
      <c r="B137" s="4" t="s">
        <v>28</v>
      </c>
      <c r="C137" s="4" t="s">
        <v>23</v>
      </c>
      <c r="D137" s="4" t="s">
        <v>29</v>
      </c>
      <c r="E137" s="4" t="s">
        <v>25</v>
      </c>
      <c r="F137" s="4" t="s">
        <v>25</v>
      </c>
      <c r="G137" s="4" t="s">
        <v>25</v>
      </c>
      <c r="H137" s="4" t="s">
        <v>25</v>
      </c>
      <c r="I137" s="5">
        <v>44835</v>
      </c>
      <c r="J137" s="6">
        <v>0</v>
      </c>
      <c r="K137" s="6">
        <v>0</v>
      </c>
      <c r="L137" s="6">
        <v>108.60299999999999</v>
      </c>
      <c r="M137" s="6">
        <v>108.60299999999999</v>
      </c>
      <c r="N137" s="6">
        <v>108.60299999999999</v>
      </c>
      <c r="O137" s="6">
        <v>108.60299999999999</v>
      </c>
      <c r="P137" s="6">
        <v>40</v>
      </c>
      <c r="Q137" s="4" t="s">
        <v>26</v>
      </c>
      <c r="R137" s="4">
        <v>0</v>
      </c>
      <c r="S137" s="6">
        <v>0</v>
      </c>
      <c r="T137" s="6">
        <v>42</v>
      </c>
      <c r="U137" s="6">
        <v>50</v>
      </c>
      <c r="V137" s="6">
        <f>IF(ISERROR(VLOOKUP($S$137,'TAR FIN'!$A$1:$O$73,15,0)),0,VLOOKUP($S$137,'TAR FIN'!$A$1:$O$73,15,0))</f>
        <v>0</v>
      </c>
      <c r="W137" s="6">
        <f>IF(ISERROR(VLOOKUP($T$137,'TAR FIN'!$A$1:$O$73,15,0)),0,VLOOKUP($T$137,'TAR FIN'!$A$1:$O$73,15,0))</f>
        <v>384.85</v>
      </c>
      <c r="X137" s="6">
        <f>IF(ISERROR(VLOOKUP($U$137,'TAR FIN'!$A$1:$O$73,15,0)),0,VLOOKUP($U$137,'TAR FIN'!$A$1:$O$73,15,0))</f>
        <v>248.09</v>
      </c>
      <c r="Y137" s="6"/>
      <c r="Z137" s="6">
        <f ca="1">('TUSD BE'!$AM$48+'TUSD BF'!$AM$48+'TUSD CVA'!$AM$48)*1</f>
        <v>486.0916419076849</v>
      </c>
      <c r="AA137" s="6">
        <f>('TE BE'!$AB$38+'TE BF'!$AB$38+'TE CVA'!$AB$38)*1</f>
        <v>192.10069561515587</v>
      </c>
      <c r="AB137" s="6">
        <f>$K$137*$V$137</f>
        <v>0</v>
      </c>
      <c r="AC137" s="6">
        <f>$M$137*$W$137</f>
        <v>41795.864549999998</v>
      </c>
      <c r="AD137" s="6">
        <f>$O$137*$X$137</f>
        <v>26943.31827</v>
      </c>
      <c r="AE137" s="6">
        <f>$K$137*$Y$137</f>
        <v>0</v>
      </c>
      <c r="AF137" s="6">
        <f ca="1">$M$137*$Z$137</f>
        <v>52791.010586100303</v>
      </c>
      <c r="AG137" s="6">
        <f>$O$137*$AA$137</f>
        <v>20862.711845892773</v>
      </c>
    </row>
    <row r="138" spans="1:33" ht="11.25" customHeight="1" x14ac:dyDescent="0.25">
      <c r="A138" s="4" t="s">
        <v>27</v>
      </c>
      <c r="B138" s="4" t="s">
        <v>28</v>
      </c>
      <c r="C138" s="4" t="s">
        <v>23</v>
      </c>
      <c r="D138" s="4" t="s">
        <v>29</v>
      </c>
      <c r="E138" s="4" t="s">
        <v>25</v>
      </c>
      <c r="F138" s="4" t="s">
        <v>25</v>
      </c>
      <c r="G138" s="4" t="s">
        <v>25</v>
      </c>
      <c r="H138" s="4" t="s">
        <v>25</v>
      </c>
      <c r="I138" s="5">
        <v>44835</v>
      </c>
      <c r="J138" s="6">
        <v>0</v>
      </c>
      <c r="K138" s="6">
        <v>0</v>
      </c>
      <c r="L138" s="6">
        <v>24.498999999999999</v>
      </c>
      <c r="M138" s="6">
        <v>24.498999999999999</v>
      </c>
      <c r="N138" s="6">
        <v>24.498999999999999</v>
      </c>
      <c r="O138" s="6">
        <v>24.498999999999999</v>
      </c>
      <c r="P138" s="6">
        <v>12</v>
      </c>
      <c r="Q138" s="4" t="s">
        <v>26</v>
      </c>
      <c r="R138" s="4">
        <v>0</v>
      </c>
      <c r="S138" s="6">
        <v>0</v>
      </c>
      <c r="T138" s="6">
        <v>42</v>
      </c>
      <c r="U138" s="6">
        <v>50</v>
      </c>
      <c r="V138" s="6">
        <f>IF(ISERROR(VLOOKUP($S$138,'TAR FIN'!$A$1:$O$73,15,0)),0,VLOOKUP($S$138,'TAR FIN'!$A$1:$O$73,15,0))</f>
        <v>0</v>
      </c>
      <c r="W138" s="6">
        <f>IF(ISERROR(VLOOKUP($T$138,'TAR FIN'!$A$1:$O$73,15,0)),0,VLOOKUP($T$138,'TAR FIN'!$A$1:$O$73,15,0))</f>
        <v>384.85</v>
      </c>
      <c r="X138" s="6">
        <f>IF(ISERROR(VLOOKUP($U$138,'TAR FIN'!$A$1:$O$73,15,0)),0,VLOOKUP($U$138,'TAR FIN'!$A$1:$O$73,15,0))</f>
        <v>248.09</v>
      </c>
      <c r="Y138" s="6"/>
      <c r="Z138" s="6">
        <f ca="1">('TUSD BE'!$AM$48+'TUSD BF'!$AM$48+'TUSD CVA'!$AM$48)*1</f>
        <v>486.0916419076849</v>
      </c>
      <c r="AA138" s="6">
        <f>('TE BE'!$AB$38+'TE BF'!$AB$38+'TE CVA'!$AB$38)*1</f>
        <v>192.10069561515587</v>
      </c>
      <c r="AB138" s="6">
        <f>$K$138*$V$138</f>
        <v>0</v>
      </c>
      <c r="AC138" s="6">
        <f>$M$138*$W$138</f>
        <v>9428.4401500000004</v>
      </c>
      <c r="AD138" s="6">
        <f>$O$138*$X$138</f>
        <v>6077.9569099999999</v>
      </c>
      <c r="AE138" s="6">
        <f>$K$138*$Y$138</f>
        <v>0</v>
      </c>
      <c r="AF138" s="6">
        <f ca="1">$M$138*$Z$138</f>
        <v>11908.759135096372</v>
      </c>
      <c r="AG138" s="6">
        <f>$O$138*$AA$138</f>
        <v>4706.274941875703</v>
      </c>
    </row>
    <row r="139" spans="1:33" ht="11.25" customHeight="1" x14ac:dyDescent="0.25">
      <c r="A139" s="4" t="s">
        <v>21</v>
      </c>
      <c r="B139" s="4" t="s">
        <v>28</v>
      </c>
      <c r="C139" s="4" t="s">
        <v>23</v>
      </c>
      <c r="D139" s="4" t="s">
        <v>33</v>
      </c>
      <c r="E139" s="4" t="s">
        <v>25</v>
      </c>
      <c r="F139" s="4" t="s">
        <v>25</v>
      </c>
      <c r="G139" s="4" t="s">
        <v>25</v>
      </c>
      <c r="H139" s="4" t="s">
        <v>25</v>
      </c>
      <c r="I139" s="5">
        <v>44501</v>
      </c>
      <c r="J139" s="6">
        <v>0</v>
      </c>
      <c r="K139" s="6">
        <v>0</v>
      </c>
      <c r="L139" s="6">
        <v>28.626000000000001</v>
      </c>
      <c r="M139" s="6">
        <v>28.626000000000001</v>
      </c>
      <c r="N139" s="6">
        <v>28.626000000000001</v>
      </c>
      <c r="O139" s="6">
        <v>28.626000000000001</v>
      </c>
      <c r="P139" s="6">
        <v>72</v>
      </c>
      <c r="Q139" s="4" t="s">
        <v>26</v>
      </c>
      <c r="R139" s="4">
        <v>0</v>
      </c>
      <c r="S139" s="6">
        <v>0</v>
      </c>
      <c r="T139" s="6">
        <v>42</v>
      </c>
      <c r="U139" s="6">
        <v>50</v>
      </c>
      <c r="V139" s="6">
        <f>IF(ISERROR(VLOOKUP($S$139,'TAR FIN'!$A$1:$O$73,15,0)),0,VLOOKUP($S$139,'TAR FIN'!$A$1:$O$73,15,0))</f>
        <v>0</v>
      </c>
      <c r="W139" s="6">
        <f>IF(ISERROR(VLOOKUP($T$139,'TAR FIN'!$A$1:$O$73,15,0)),0,VLOOKUP($T$139,'TAR FIN'!$A$1:$O$73,15,0))</f>
        <v>384.85</v>
      </c>
      <c r="X139" s="6">
        <f>IF(ISERROR(VLOOKUP($U$139,'TAR FIN'!$A$1:$O$73,15,0)),0,VLOOKUP($U$139,'TAR FIN'!$A$1:$O$73,15,0))</f>
        <v>248.09</v>
      </c>
      <c r="Y139" s="6"/>
      <c r="Z139" s="6">
        <f ca="1">('TUSD BE'!$AM$48+'TUSD BF'!$AM$48+'TUSD CVA'!$AM$48)*1</f>
        <v>486.0916419076849</v>
      </c>
      <c r="AA139" s="6">
        <f>('TE BE'!$AB$38+'TE BF'!$AB$38+'TE CVA'!$AB$38)*1</f>
        <v>192.10069561515587</v>
      </c>
      <c r="AB139" s="6">
        <f>$K$139*$V$139</f>
        <v>0</v>
      </c>
      <c r="AC139" s="6">
        <f>$M$139*$W$139</f>
        <v>11016.716100000001</v>
      </c>
      <c r="AD139" s="6">
        <f>$O$139*$X$139</f>
        <v>7101.8243400000001</v>
      </c>
      <c r="AE139" s="6">
        <f>$K$139*$Y$139</f>
        <v>0</v>
      </c>
      <c r="AF139" s="6">
        <f ca="1">$M$139*$Z$139</f>
        <v>13914.859341249388</v>
      </c>
      <c r="AG139" s="6">
        <f>$O$139*$AA$139</f>
        <v>5499.0745126794518</v>
      </c>
    </row>
    <row r="140" spans="1:33" ht="11.25" customHeight="1" x14ac:dyDescent="0.25">
      <c r="A140" s="4" t="s">
        <v>21</v>
      </c>
      <c r="B140" s="4" t="s">
        <v>28</v>
      </c>
      <c r="C140" s="4" t="s">
        <v>23</v>
      </c>
      <c r="D140" s="4" t="s">
        <v>33</v>
      </c>
      <c r="E140" s="4" t="s">
        <v>25</v>
      </c>
      <c r="F140" s="4" t="s">
        <v>25</v>
      </c>
      <c r="G140" s="4" t="s">
        <v>25</v>
      </c>
      <c r="H140" s="4" t="s">
        <v>25</v>
      </c>
      <c r="I140" s="5">
        <v>44531</v>
      </c>
      <c r="J140" s="6">
        <v>0</v>
      </c>
      <c r="K140" s="6">
        <v>0</v>
      </c>
      <c r="L140" s="6">
        <v>30.797999999999998</v>
      </c>
      <c r="M140" s="6">
        <v>30.797999999999998</v>
      </c>
      <c r="N140" s="6">
        <v>30.797999999999998</v>
      </c>
      <c r="O140" s="6">
        <v>30.797999999999998</v>
      </c>
      <c r="P140" s="6">
        <v>72</v>
      </c>
      <c r="Q140" s="4" t="s">
        <v>26</v>
      </c>
      <c r="R140" s="4">
        <v>0</v>
      </c>
      <c r="S140" s="6">
        <v>0</v>
      </c>
      <c r="T140" s="6">
        <v>42</v>
      </c>
      <c r="U140" s="6">
        <v>50</v>
      </c>
      <c r="V140" s="6">
        <f>IF(ISERROR(VLOOKUP($S$140,'TAR FIN'!$A$1:$O$73,15,0)),0,VLOOKUP($S$140,'TAR FIN'!$A$1:$O$73,15,0))</f>
        <v>0</v>
      </c>
      <c r="W140" s="6">
        <f>IF(ISERROR(VLOOKUP($T$140,'TAR FIN'!$A$1:$O$73,15,0)),0,VLOOKUP($T$140,'TAR FIN'!$A$1:$O$73,15,0))</f>
        <v>384.85</v>
      </c>
      <c r="X140" s="6">
        <f>IF(ISERROR(VLOOKUP($U$140,'TAR FIN'!$A$1:$O$73,15,0)),0,VLOOKUP($U$140,'TAR FIN'!$A$1:$O$73,15,0))</f>
        <v>248.09</v>
      </c>
      <c r="Y140" s="6"/>
      <c r="Z140" s="6">
        <f ca="1">('TUSD BE'!$AM$48+'TUSD BF'!$AM$48+'TUSD CVA'!$AM$48)*1</f>
        <v>486.0916419076849</v>
      </c>
      <c r="AA140" s="6">
        <f>('TE BE'!$AB$38+'TE BF'!$AB$38+'TE CVA'!$AB$38)*1</f>
        <v>192.10069561515587</v>
      </c>
      <c r="AB140" s="6">
        <f>$K$140*$V$140</f>
        <v>0</v>
      </c>
      <c r="AC140" s="6">
        <f>$M$140*$W$140</f>
        <v>11852.6103</v>
      </c>
      <c r="AD140" s="6">
        <f>$O$140*$X$140</f>
        <v>7640.6758199999995</v>
      </c>
      <c r="AE140" s="6">
        <f>$K$140*$Y$140</f>
        <v>0</v>
      </c>
      <c r="AF140" s="6">
        <f ca="1">$M$140*$Z$140</f>
        <v>14970.650387472879</v>
      </c>
      <c r="AG140" s="6">
        <f>$O$140*$AA$140</f>
        <v>5916.3172235555703</v>
      </c>
    </row>
    <row r="141" spans="1:33" ht="11.25" customHeight="1" x14ac:dyDescent="0.25">
      <c r="A141" s="4" t="s">
        <v>21</v>
      </c>
      <c r="B141" s="4" t="s">
        <v>28</v>
      </c>
      <c r="C141" s="4" t="s">
        <v>23</v>
      </c>
      <c r="D141" s="4" t="s">
        <v>33</v>
      </c>
      <c r="E141" s="4" t="s">
        <v>25</v>
      </c>
      <c r="F141" s="4" t="s">
        <v>25</v>
      </c>
      <c r="G141" s="4" t="s">
        <v>25</v>
      </c>
      <c r="H141" s="4" t="s">
        <v>25</v>
      </c>
      <c r="I141" s="5">
        <v>44562</v>
      </c>
      <c r="J141" s="6">
        <v>0</v>
      </c>
      <c r="K141" s="6">
        <v>0</v>
      </c>
      <c r="L141" s="6">
        <v>26.632999999999999</v>
      </c>
      <c r="M141" s="6">
        <v>26.632999999999999</v>
      </c>
      <c r="N141" s="6">
        <v>26.632999999999999</v>
      </c>
      <c r="O141" s="6">
        <v>26.632999999999999</v>
      </c>
      <c r="P141" s="6">
        <v>72</v>
      </c>
      <c r="Q141" s="4" t="s">
        <v>26</v>
      </c>
      <c r="R141" s="4">
        <v>0</v>
      </c>
      <c r="S141" s="6">
        <v>0</v>
      </c>
      <c r="T141" s="6">
        <v>42</v>
      </c>
      <c r="U141" s="6">
        <v>50</v>
      </c>
      <c r="V141" s="6">
        <f>IF(ISERROR(VLOOKUP($S$141,'TAR FIN'!$A$1:$O$73,15,0)),0,VLOOKUP($S$141,'TAR FIN'!$A$1:$O$73,15,0))</f>
        <v>0</v>
      </c>
      <c r="W141" s="6">
        <f>IF(ISERROR(VLOOKUP($T$141,'TAR FIN'!$A$1:$O$73,15,0)),0,VLOOKUP($T$141,'TAR FIN'!$A$1:$O$73,15,0))</f>
        <v>384.85</v>
      </c>
      <c r="X141" s="6">
        <f>IF(ISERROR(VLOOKUP($U$141,'TAR FIN'!$A$1:$O$73,15,0)),0,VLOOKUP($U$141,'TAR FIN'!$A$1:$O$73,15,0))</f>
        <v>248.09</v>
      </c>
      <c r="Y141" s="6"/>
      <c r="Z141" s="6">
        <f ca="1">('TUSD BE'!$AM$48+'TUSD BF'!$AM$48+'TUSD CVA'!$AM$48)*1</f>
        <v>486.0916419076849</v>
      </c>
      <c r="AA141" s="6">
        <f>('TE BE'!$AB$38+'TE BF'!$AB$38+'TE CVA'!$AB$38)*1</f>
        <v>192.10069561515587</v>
      </c>
      <c r="AB141" s="6">
        <f>$K$141*$V$141</f>
        <v>0</v>
      </c>
      <c r="AC141" s="6">
        <f>$M$141*$W$141</f>
        <v>10249.71005</v>
      </c>
      <c r="AD141" s="6">
        <f>$O$141*$X$141</f>
        <v>6607.3809700000002</v>
      </c>
      <c r="AE141" s="6">
        <f>$K$141*$Y$141</f>
        <v>0</v>
      </c>
      <c r="AF141" s="6">
        <f ca="1">$M$141*$Z$141</f>
        <v>12946.078698927371</v>
      </c>
      <c r="AG141" s="6">
        <f>$O$141*$AA$141</f>
        <v>5116.217826318446</v>
      </c>
    </row>
    <row r="142" spans="1:33" ht="11.25" customHeight="1" x14ac:dyDescent="0.25">
      <c r="A142" s="4" t="s">
        <v>21</v>
      </c>
      <c r="B142" s="4" t="s">
        <v>28</v>
      </c>
      <c r="C142" s="4" t="s">
        <v>23</v>
      </c>
      <c r="D142" s="4" t="s">
        <v>33</v>
      </c>
      <c r="E142" s="4" t="s">
        <v>25</v>
      </c>
      <c r="F142" s="4" t="s">
        <v>25</v>
      </c>
      <c r="G142" s="4" t="s">
        <v>25</v>
      </c>
      <c r="H142" s="4" t="s">
        <v>25</v>
      </c>
      <c r="I142" s="5">
        <v>44593</v>
      </c>
      <c r="J142" s="6">
        <v>0</v>
      </c>
      <c r="K142" s="6">
        <v>0</v>
      </c>
      <c r="L142" s="6">
        <v>27.082000000000001</v>
      </c>
      <c r="M142" s="6">
        <v>27.082000000000001</v>
      </c>
      <c r="N142" s="6">
        <v>27.082000000000001</v>
      </c>
      <c r="O142" s="6">
        <v>27.082000000000001</v>
      </c>
      <c r="P142" s="6">
        <v>72</v>
      </c>
      <c r="Q142" s="4" t="s">
        <v>26</v>
      </c>
      <c r="R142" s="4">
        <v>0</v>
      </c>
      <c r="S142" s="6">
        <v>0</v>
      </c>
      <c r="T142" s="6">
        <v>42</v>
      </c>
      <c r="U142" s="6">
        <v>50</v>
      </c>
      <c r="V142" s="6">
        <f>IF(ISERROR(VLOOKUP($S$142,'TAR FIN'!$A$1:$O$73,15,0)),0,VLOOKUP($S$142,'TAR FIN'!$A$1:$O$73,15,0))</f>
        <v>0</v>
      </c>
      <c r="W142" s="6">
        <f>IF(ISERROR(VLOOKUP($T$142,'TAR FIN'!$A$1:$O$73,15,0)),0,VLOOKUP($T$142,'TAR FIN'!$A$1:$O$73,15,0))</f>
        <v>384.85</v>
      </c>
      <c r="X142" s="6">
        <f>IF(ISERROR(VLOOKUP($U$142,'TAR FIN'!$A$1:$O$73,15,0)),0,VLOOKUP($U$142,'TAR FIN'!$A$1:$O$73,15,0))</f>
        <v>248.09</v>
      </c>
      <c r="Y142" s="6"/>
      <c r="Z142" s="6">
        <f ca="1">('TUSD BE'!$AM$48+'TUSD BF'!$AM$48+'TUSD CVA'!$AM$48)*1</f>
        <v>486.0916419076849</v>
      </c>
      <c r="AA142" s="6">
        <f>('TE BE'!$AB$38+'TE BF'!$AB$38+'TE CVA'!$AB$38)*1</f>
        <v>192.10069561515587</v>
      </c>
      <c r="AB142" s="6">
        <f>$K$142*$V$142</f>
        <v>0</v>
      </c>
      <c r="AC142" s="6">
        <f>$M$142*$W$142</f>
        <v>10422.5077</v>
      </c>
      <c r="AD142" s="6">
        <f>$O$142*$X$142</f>
        <v>6718.7733800000005</v>
      </c>
      <c r="AE142" s="6">
        <f>$K$142*$Y$142</f>
        <v>0</v>
      </c>
      <c r="AF142" s="6">
        <f ca="1">$M$142*$Z$142</f>
        <v>13164.333846143923</v>
      </c>
      <c r="AG142" s="6">
        <f>$O$142*$AA$142</f>
        <v>5202.4710386496517</v>
      </c>
    </row>
    <row r="143" spans="1:33" ht="11.25" customHeight="1" x14ac:dyDescent="0.25">
      <c r="A143" s="4" t="s">
        <v>21</v>
      </c>
      <c r="B143" s="4" t="s">
        <v>28</v>
      </c>
      <c r="C143" s="4" t="s">
        <v>23</v>
      </c>
      <c r="D143" s="4" t="s">
        <v>33</v>
      </c>
      <c r="E143" s="4" t="s">
        <v>25</v>
      </c>
      <c r="F143" s="4" t="s">
        <v>25</v>
      </c>
      <c r="G143" s="4" t="s">
        <v>25</v>
      </c>
      <c r="H143" s="4" t="s">
        <v>25</v>
      </c>
      <c r="I143" s="5">
        <v>44621</v>
      </c>
      <c r="J143" s="6">
        <v>0</v>
      </c>
      <c r="K143" s="6">
        <v>0</v>
      </c>
      <c r="L143" s="6">
        <v>33.36</v>
      </c>
      <c r="M143" s="6">
        <v>33.36</v>
      </c>
      <c r="N143" s="6">
        <v>33.36</v>
      </c>
      <c r="O143" s="6">
        <v>33.36</v>
      </c>
      <c r="P143" s="6">
        <v>71</v>
      </c>
      <c r="Q143" s="4" t="s">
        <v>26</v>
      </c>
      <c r="R143" s="4">
        <v>0</v>
      </c>
      <c r="S143" s="6">
        <v>0</v>
      </c>
      <c r="T143" s="6">
        <v>42</v>
      </c>
      <c r="U143" s="6">
        <v>50</v>
      </c>
      <c r="V143" s="6">
        <f>IF(ISERROR(VLOOKUP($S$143,'TAR FIN'!$A$1:$O$73,15,0)),0,VLOOKUP($S$143,'TAR FIN'!$A$1:$O$73,15,0))</f>
        <v>0</v>
      </c>
      <c r="W143" s="6">
        <f>IF(ISERROR(VLOOKUP($T$143,'TAR FIN'!$A$1:$O$73,15,0)),0,VLOOKUP($T$143,'TAR FIN'!$A$1:$O$73,15,0))</f>
        <v>384.85</v>
      </c>
      <c r="X143" s="6">
        <f>IF(ISERROR(VLOOKUP($U$143,'TAR FIN'!$A$1:$O$73,15,0)),0,VLOOKUP($U$143,'TAR FIN'!$A$1:$O$73,15,0))</f>
        <v>248.09</v>
      </c>
      <c r="Y143" s="6"/>
      <c r="Z143" s="6">
        <f ca="1">('TUSD BE'!$AM$48+'TUSD BF'!$AM$48+'TUSD CVA'!$AM$48)*1</f>
        <v>486.0916419076849</v>
      </c>
      <c r="AA143" s="6">
        <f>('TE BE'!$AB$38+'TE BF'!$AB$38+'TE CVA'!$AB$38)*1</f>
        <v>192.10069561515587</v>
      </c>
      <c r="AB143" s="6">
        <f>$K$143*$V$143</f>
        <v>0</v>
      </c>
      <c r="AC143" s="6">
        <f>$M$143*$W$143</f>
        <v>12838.596000000001</v>
      </c>
      <c r="AD143" s="6">
        <f>$O$143*$X$143</f>
        <v>8276.2824000000001</v>
      </c>
      <c r="AE143" s="6">
        <f>$K$143*$Y$143</f>
        <v>0</v>
      </c>
      <c r="AF143" s="6">
        <f ca="1">$M$143*$Z$143</f>
        <v>16216.017174040368</v>
      </c>
      <c r="AG143" s="6">
        <f>$O$143*$AA$143</f>
        <v>6408.4792057216</v>
      </c>
    </row>
    <row r="144" spans="1:33" ht="11.25" customHeight="1" x14ac:dyDescent="0.25">
      <c r="A144" s="4" t="s">
        <v>21</v>
      </c>
      <c r="B144" s="4" t="s">
        <v>28</v>
      </c>
      <c r="C144" s="4" t="s">
        <v>23</v>
      </c>
      <c r="D144" s="4" t="s">
        <v>33</v>
      </c>
      <c r="E144" s="4" t="s">
        <v>25</v>
      </c>
      <c r="F144" s="4" t="s">
        <v>25</v>
      </c>
      <c r="G144" s="4" t="s">
        <v>25</v>
      </c>
      <c r="H144" s="4" t="s">
        <v>25</v>
      </c>
      <c r="I144" s="5">
        <v>44652</v>
      </c>
      <c r="J144" s="6">
        <v>0</v>
      </c>
      <c r="K144" s="6">
        <v>0</v>
      </c>
      <c r="L144" s="6">
        <v>34.479999999999997</v>
      </c>
      <c r="M144" s="6">
        <v>34.479999999999997</v>
      </c>
      <c r="N144" s="6">
        <v>34.479999999999997</v>
      </c>
      <c r="O144" s="6">
        <v>34.479999999999997</v>
      </c>
      <c r="P144" s="6">
        <v>71</v>
      </c>
      <c r="Q144" s="4" t="s">
        <v>26</v>
      </c>
      <c r="R144" s="4">
        <v>0</v>
      </c>
      <c r="S144" s="6">
        <v>0</v>
      </c>
      <c r="T144" s="6">
        <v>42</v>
      </c>
      <c r="U144" s="6">
        <v>50</v>
      </c>
      <c r="V144" s="6">
        <f>IF(ISERROR(VLOOKUP($S$144,'TAR FIN'!$A$1:$O$73,15,0)),0,VLOOKUP($S$144,'TAR FIN'!$A$1:$O$73,15,0))</f>
        <v>0</v>
      </c>
      <c r="W144" s="6">
        <f>IF(ISERROR(VLOOKUP($T$144,'TAR FIN'!$A$1:$O$73,15,0)),0,VLOOKUP($T$144,'TAR FIN'!$A$1:$O$73,15,0))</f>
        <v>384.85</v>
      </c>
      <c r="X144" s="6">
        <f>IF(ISERROR(VLOOKUP($U$144,'TAR FIN'!$A$1:$O$73,15,0)),0,VLOOKUP($U$144,'TAR FIN'!$A$1:$O$73,15,0))</f>
        <v>248.09</v>
      </c>
      <c r="Y144" s="6"/>
      <c r="Z144" s="6">
        <f ca="1">('TUSD BE'!$AM$48+'TUSD BF'!$AM$48+'TUSD CVA'!$AM$48)*1</f>
        <v>486.0916419076849</v>
      </c>
      <c r="AA144" s="6">
        <f>('TE BE'!$AB$38+'TE BF'!$AB$38+'TE CVA'!$AB$38)*1</f>
        <v>192.10069561515587</v>
      </c>
      <c r="AB144" s="6">
        <f>$K$144*$V$144</f>
        <v>0</v>
      </c>
      <c r="AC144" s="6">
        <f>$M$144*$W$144</f>
        <v>13269.627999999999</v>
      </c>
      <c r="AD144" s="6">
        <f>$O$144*$X$144</f>
        <v>8554.1431999999986</v>
      </c>
      <c r="AE144" s="6">
        <f>$K$144*$Y$144</f>
        <v>0</v>
      </c>
      <c r="AF144" s="6">
        <f ca="1">$M$144*$Z$144</f>
        <v>16760.439812976972</v>
      </c>
      <c r="AG144" s="6">
        <f>$O$144*$AA$144</f>
        <v>6623.6319848105741</v>
      </c>
    </row>
    <row r="145" spans="1:33" ht="11.25" customHeight="1" x14ac:dyDescent="0.25">
      <c r="A145" s="4" t="s">
        <v>21</v>
      </c>
      <c r="B145" s="4" t="s">
        <v>28</v>
      </c>
      <c r="C145" s="4" t="s">
        <v>23</v>
      </c>
      <c r="D145" s="4" t="s">
        <v>33</v>
      </c>
      <c r="E145" s="4" t="s">
        <v>25</v>
      </c>
      <c r="F145" s="4" t="s">
        <v>25</v>
      </c>
      <c r="G145" s="4" t="s">
        <v>25</v>
      </c>
      <c r="H145" s="4" t="s">
        <v>25</v>
      </c>
      <c r="I145" s="5">
        <v>44682</v>
      </c>
      <c r="J145" s="6">
        <v>0</v>
      </c>
      <c r="K145" s="6">
        <v>0</v>
      </c>
      <c r="L145" s="6">
        <v>28.722000000000001</v>
      </c>
      <c r="M145" s="6">
        <v>28.722000000000001</v>
      </c>
      <c r="N145" s="6">
        <v>28.722000000000001</v>
      </c>
      <c r="O145" s="6">
        <v>28.722000000000001</v>
      </c>
      <c r="P145" s="6">
        <v>72</v>
      </c>
      <c r="Q145" s="4" t="s">
        <v>26</v>
      </c>
      <c r="R145" s="4">
        <v>0</v>
      </c>
      <c r="S145" s="6">
        <v>0</v>
      </c>
      <c r="T145" s="6">
        <v>42</v>
      </c>
      <c r="U145" s="6">
        <v>50</v>
      </c>
      <c r="V145" s="6">
        <f>IF(ISERROR(VLOOKUP($S$145,'TAR FIN'!$A$1:$O$73,15,0)),0,VLOOKUP($S$145,'TAR FIN'!$A$1:$O$73,15,0))</f>
        <v>0</v>
      </c>
      <c r="W145" s="6">
        <f>IF(ISERROR(VLOOKUP($T$145,'TAR FIN'!$A$1:$O$73,15,0)),0,VLOOKUP($T$145,'TAR FIN'!$A$1:$O$73,15,0))</f>
        <v>384.85</v>
      </c>
      <c r="X145" s="6">
        <f>IF(ISERROR(VLOOKUP($U$145,'TAR FIN'!$A$1:$O$73,15,0)),0,VLOOKUP($U$145,'TAR FIN'!$A$1:$O$73,15,0))</f>
        <v>248.09</v>
      </c>
      <c r="Y145" s="6"/>
      <c r="Z145" s="6">
        <f ca="1">('TUSD BE'!$AM$48+'TUSD BF'!$AM$48+'TUSD CVA'!$AM$48)*1</f>
        <v>486.0916419076849</v>
      </c>
      <c r="AA145" s="6">
        <f>('TE BE'!$AB$38+'TE BF'!$AB$38+'TE CVA'!$AB$38)*1</f>
        <v>192.10069561515587</v>
      </c>
      <c r="AB145" s="6">
        <f>$K$145*$V$145</f>
        <v>0</v>
      </c>
      <c r="AC145" s="6">
        <f>$M$145*$W$145</f>
        <v>11053.661700000001</v>
      </c>
      <c r="AD145" s="6">
        <f>$O$145*$X$145</f>
        <v>7125.6409800000001</v>
      </c>
      <c r="AE145" s="6">
        <f>$K$145*$Y$145</f>
        <v>0</v>
      </c>
      <c r="AF145" s="6">
        <f ca="1">$M$145*$Z$145</f>
        <v>13961.524138872526</v>
      </c>
      <c r="AG145" s="6">
        <f>$O$145*$AA$145</f>
        <v>5517.5161794585074</v>
      </c>
    </row>
    <row r="146" spans="1:33" ht="11.25" customHeight="1" x14ac:dyDescent="0.25">
      <c r="A146" s="4" t="s">
        <v>21</v>
      </c>
      <c r="B146" s="4" t="s">
        <v>28</v>
      </c>
      <c r="C146" s="4" t="s">
        <v>23</v>
      </c>
      <c r="D146" s="4" t="s">
        <v>33</v>
      </c>
      <c r="E146" s="4" t="s">
        <v>25</v>
      </c>
      <c r="F146" s="4" t="s">
        <v>25</v>
      </c>
      <c r="G146" s="4" t="s">
        <v>25</v>
      </c>
      <c r="H146" s="4" t="s">
        <v>25</v>
      </c>
      <c r="I146" s="5">
        <v>44713</v>
      </c>
      <c r="J146" s="6">
        <v>0</v>
      </c>
      <c r="K146" s="6">
        <v>0</v>
      </c>
      <c r="L146" s="6">
        <v>28.422999999999998</v>
      </c>
      <c r="M146" s="6">
        <v>28.422999999999998</v>
      </c>
      <c r="N146" s="6">
        <v>28.422999999999998</v>
      </c>
      <c r="O146" s="6">
        <v>28.422999999999998</v>
      </c>
      <c r="P146" s="6">
        <v>72</v>
      </c>
      <c r="Q146" s="4" t="s">
        <v>26</v>
      </c>
      <c r="R146" s="4">
        <v>0</v>
      </c>
      <c r="S146" s="6">
        <v>0</v>
      </c>
      <c r="T146" s="6">
        <v>42</v>
      </c>
      <c r="U146" s="6">
        <v>50</v>
      </c>
      <c r="V146" s="6">
        <f>IF(ISERROR(VLOOKUP($S$146,'TAR FIN'!$A$1:$O$73,15,0)),0,VLOOKUP($S$146,'TAR FIN'!$A$1:$O$73,15,0))</f>
        <v>0</v>
      </c>
      <c r="W146" s="6">
        <f>IF(ISERROR(VLOOKUP($T$146,'TAR FIN'!$A$1:$O$73,15,0)),0,VLOOKUP($T$146,'TAR FIN'!$A$1:$O$73,15,0))</f>
        <v>384.85</v>
      </c>
      <c r="X146" s="6">
        <f>IF(ISERROR(VLOOKUP($U$146,'TAR FIN'!$A$1:$O$73,15,0)),0,VLOOKUP($U$146,'TAR FIN'!$A$1:$O$73,15,0))</f>
        <v>248.09</v>
      </c>
      <c r="Y146" s="6"/>
      <c r="Z146" s="6">
        <f ca="1">('TUSD BE'!$AM$48+'TUSD BF'!$AM$48+'TUSD CVA'!$AM$48)*1</f>
        <v>486.0916419076849</v>
      </c>
      <c r="AA146" s="6">
        <f>('TE BE'!$AB$38+'TE BF'!$AB$38+'TE CVA'!$AB$38)*1</f>
        <v>192.10069561515587</v>
      </c>
      <c r="AB146" s="6">
        <f>$K$146*$V$146</f>
        <v>0</v>
      </c>
      <c r="AC146" s="6">
        <f>$M$146*$W$146</f>
        <v>10938.591549999999</v>
      </c>
      <c r="AD146" s="6">
        <f>$O$146*$X$146</f>
        <v>7051.4620699999996</v>
      </c>
      <c r="AE146" s="6">
        <f>$K$146*$Y$146</f>
        <v>0</v>
      </c>
      <c r="AF146" s="6">
        <f ca="1">$M$146*$Z$146</f>
        <v>13816.182737942127</v>
      </c>
      <c r="AG146" s="6">
        <f>$O$146*$AA$146</f>
        <v>5460.0780714695748</v>
      </c>
    </row>
    <row r="147" spans="1:33" ht="11.25" customHeight="1" x14ac:dyDescent="0.25">
      <c r="A147" s="4" t="s">
        <v>21</v>
      </c>
      <c r="B147" s="4" t="s">
        <v>28</v>
      </c>
      <c r="C147" s="4" t="s">
        <v>23</v>
      </c>
      <c r="D147" s="4" t="s">
        <v>33</v>
      </c>
      <c r="E147" s="4" t="s">
        <v>25</v>
      </c>
      <c r="F147" s="4" t="s">
        <v>25</v>
      </c>
      <c r="G147" s="4" t="s">
        <v>25</v>
      </c>
      <c r="H147" s="4" t="s">
        <v>25</v>
      </c>
      <c r="I147" s="5">
        <v>44743</v>
      </c>
      <c r="J147" s="6">
        <v>0</v>
      </c>
      <c r="K147" s="6">
        <v>0</v>
      </c>
      <c r="L147" s="6">
        <v>31.510999999999999</v>
      </c>
      <c r="M147" s="6">
        <v>31.510999999999999</v>
      </c>
      <c r="N147" s="6">
        <v>31.510999999999999</v>
      </c>
      <c r="O147" s="6">
        <v>31.510999999999999</v>
      </c>
      <c r="P147" s="6">
        <v>71</v>
      </c>
      <c r="Q147" s="4" t="s">
        <v>26</v>
      </c>
      <c r="R147" s="4">
        <v>0</v>
      </c>
      <c r="S147" s="6">
        <v>0</v>
      </c>
      <c r="T147" s="6">
        <v>42</v>
      </c>
      <c r="U147" s="6">
        <v>50</v>
      </c>
      <c r="V147" s="6">
        <f>IF(ISERROR(VLOOKUP($S$147,'TAR FIN'!$A$1:$O$73,15,0)),0,VLOOKUP($S$147,'TAR FIN'!$A$1:$O$73,15,0))</f>
        <v>0</v>
      </c>
      <c r="W147" s="6">
        <f>IF(ISERROR(VLOOKUP($T$147,'TAR FIN'!$A$1:$O$73,15,0)),0,VLOOKUP($T$147,'TAR FIN'!$A$1:$O$73,15,0))</f>
        <v>384.85</v>
      </c>
      <c r="X147" s="6">
        <f>IF(ISERROR(VLOOKUP($U$147,'TAR FIN'!$A$1:$O$73,15,0)),0,VLOOKUP($U$147,'TAR FIN'!$A$1:$O$73,15,0))</f>
        <v>248.09</v>
      </c>
      <c r="Y147" s="6"/>
      <c r="Z147" s="6">
        <f ca="1">('TUSD BE'!$AM$48+'TUSD BF'!$AM$48+'TUSD CVA'!$AM$48)*1</f>
        <v>486.0916419076849</v>
      </c>
      <c r="AA147" s="6">
        <f>('TE BE'!$AB$38+'TE BF'!$AB$38+'TE CVA'!$AB$38)*1</f>
        <v>192.10069561515587</v>
      </c>
      <c r="AB147" s="6">
        <f>$K$147*$V$147</f>
        <v>0</v>
      </c>
      <c r="AC147" s="6">
        <f>$M$147*$W$147</f>
        <v>12127.00835</v>
      </c>
      <c r="AD147" s="6">
        <f>$O$147*$X$147</f>
        <v>7817.5639899999996</v>
      </c>
      <c r="AE147" s="6">
        <f>$K$147*$Y$147</f>
        <v>0</v>
      </c>
      <c r="AF147" s="6">
        <f ca="1">$M$147*$Z$147</f>
        <v>15317.233728153058</v>
      </c>
      <c r="AG147" s="6">
        <f>$O$147*$AA$147</f>
        <v>6053.2850195291767</v>
      </c>
    </row>
    <row r="148" spans="1:33" ht="11.25" customHeight="1" x14ac:dyDescent="0.25">
      <c r="A148" s="4" t="s">
        <v>21</v>
      </c>
      <c r="B148" s="4" t="s">
        <v>28</v>
      </c>
      <c r="C148" s="4" t="s">
        <v>23</v>
      </c>
      <c r="D148" s="4" t="s">
        <v>33</v>
      </c>
      <c r="E148" s="4" t="s">
        <v>25</v>
      </c>
      <c r="F148" s="4" t="s">
        <v>25</v>
      </c>
      <c r="G148" s="4" t="s">
        <v>25</v>
      </c>
      <c r="H148" s="4" t="s">
        <v>25</v>
      </c>
      <c r="I148" s="5">
        <v>44774</v>
      </c>
      <c r="J148" s="6">
        <v>0</v>
      </c>
      <c r="K148" s="6">
        <v>0</v>
      </c>
      <c r="L148" s="6">
        <v>27.742000000000001</v>
      </c>
      <c r="M148" s="6">
        <v>27.742000000000001</v>
      </c>
      <c r="N148" s="6">
        <v>27.742000000000001</v>
      </c>
      <c r="O148" s="6">
        <v>27.742000000000001</v>
      </c>
      <c r="P148" s="6">
        <v>71</v>
      </c>
      <c r="Q148" s="4" t="s">
        <v>26</v>
      </c>
      <c r="R148" s="4">
        <v>0</v>
      </c>
      <c r="S148" s="6">
        <v>0</v>
      </c>
      <c r="T148" s="6">
        <v>42</v>
      </c>
      <c r="U148" s="6">
        <v>50</v>
      </c>
      <c r="V148" s="6">
        <f>IF(ISERROR(VLOOKUP($S$148,'TAR FIN'!$A$1:$O$73,15,0)),0,VLOOKUP($S$148,'TAR FIN'!$A$1:$O$73,15,0))</f>
        <v>0</v>
      </c>
      <c r="W148" s="6">
        <f>IF(ISERROR(VLOOKUP($T$148,'TAR FIN'!$A$1:$O$73,15,0)),0,VLOOKUP($T$148,'TAR FIN'!$A$1:$O$73,15,0))</f>
        <v>384.85</v>
      </c>
      <c r="X148" s="6">
        <f>IF(ISERROR(VLOOKUP($U$148,'TAR FIN'!$A$1:$O$73,15,0)),0,VLOOKUP($U$148,'TAR FIN'!$A$1:$O$73,15,0))</f>
        <v>248.09</v>
      </c>
      <c r="Y148" s="6"/>
      <c r="Z148" s="6">
        <f ca="1">('TUSD BE'!$AM$48+'TUSD BF'!$AM$48+'TUSD CVA'!$AM$48)*1</f>
        <v>486.0916419076849</v>
      </c>
      <c r="AA148" s="6">
        <f>('TE BE'!$AB$38+'TE BF'!$AB$38+'TE CVA'!$AB$38)*1</f>
        <v>192.10069561515587</v>
      </c>
      <c r="AB148" s="6">
        <f>$K$148*$V$148</f>
        <v>0</v>
      </c>
      <c r="AC148" s="6">
        <f>$M$148*$W$148</f>
        <v>10676.5087</v>
      </c>
      <c r="AD148" s="6">
        <f>$O$148*$X$148</f>
        <v>6882.51278</v>
      </c>
      <c r="AE148" s="6">
        <f>$K$148*$Y$148</f>
        <v>0</v>
      </c>
      <c r="AF148" s="6">
        <f ca="1">$M$148*$Z$148</f>
        <v>13485.154329802996</v>
      </c>
      <c r="AG148" s="6">
        <f>$O$148*$AA$148</f>
        <v>5329.2574977556542</v>
      </c>
    </row>
    <row r="149" spans="1:33" ht="11.25" customHeight="1" x14ac:dyDescent="0.25">
      <c r="A149" s="4" t="s">
        <v>21</v>
      </c>
      <c r="B149" s="4" t="s">
        <v>28</v>
      </c>
      <c r="C149" s="4" t="s">
        <v>23</v>
      </c>
      <c r="D149" s="4" t="s">
        <v>33</v>
      </c>
      <c r="E149" s="4" t="s">
        <v>25</v>
      </c>
      <c r="F149" s="4" t="s">
        <v>25</v>
      </c>
      <c r="G149" s="4" t="s">
        <v>25</v>
      </c>
      <c r="H149" s="4" t="s">
        <v>25</v>
      </c>
      <c r="I149" s="5">
        <v>44805</v>
      </c>
      <c r="J149" s="6">
        <v>0</v>
      </c>
      <c r="K149" s="6">
        <v>0</v>
      </c>
      <c r="L149" s="6">
        <v>31.645</v>
      </c>
      <c r="M149" s="6">
        <v>31.645</v>
      </c>
      <c r="N149" s="6">
        <v>31.645</v>
      </c>
      <c r="O149" s="6">
        <v>31.645</v>
      </c>
      <c r="P149" s="6">
        <v>71</v>
      </c>
      <c r="Q149" s="4" t="s">
        <v>26</v>
      </c>
      <c r="R149" s="4">
        <v>0</v>
      </c>
      <c r="S149" s="6">
        <v>0</v>
      </c>
      <c r="T149" s="6">
        <v>42</v>
      </c>
      <c r="U149" s="6">
        <v>50</v>
      </c>
      <c r="V149" s="6">
        <f>IF(ISERROR(VLOOKUP($S$149,'TAR FIN'!$A$1:$O$73,15,0)),0,VLOOKUP($S$149,'TAR FIN'!$A$1:$O$73,15,0))</f>
        <v>0</v>
      </c>
      <c r="W149" s="6">
        <f>IF(ISERROR(VLOOKUP($T$149,'TAR FIN'!$A$1:$O$73,15,0)),0,VLOOKUP($T$149,'TAR FIN'!$A$1:$O$73,15,0))</f>
        <v>384.85</v>
      </c>
      <c r="X149" s="6">
        <f>IF(ISERROR(VLOOKUP($U$149,'TAR FIN'!$A$1:$O$73,15,0)),0,VLOOKUP($U$149,'TAR FIN'!$A$1:$O$73,15,0))</f>
        <v>248.09</v>
      </c>
      <c r="Y149" s="6"/>
      <c r="Z149" s="6">
        <f ca="1">('TUSD BE'!$AM$48+'TUSD BF'!$AM$48+'TUSD CVA'!$AM$48)*1</f>
        <v>486.0916419076849</v>
      </c>
      <c r="AA149" s="6">
        <f>('TE BE'!$AB$38+'TE BF'!$AB$38+'TE CVA'!$AB$38)*1</f>
        <v>192.10069561515587</v>
      </c>
      <c r="AB149" s="6">
        <f>$K$149*$V$149</f>
        <v>0</v>
      </c>
      <c r="AC149" s="6">
        <f>$M$149*$W$149</f>
        <v>12178.57825</v>
      </c>
      <c r="AD149" s="6">
        <f>$O$149*$X$149</f>
        <v>7850.8080499999996</v>
      </c>
      <c r="AE149" s="6">
        <f>$K$149*$Y$149</f>
        <v>0</v>
      </c>
      <c r="AF149" s="6">
        <f ca="1">$M$149*$Z$149</f>
        <v>15382.370008168689</v>
      </c>
      <c r="AG149" s="6">
        <f>$O$149*$AA$149</f>
        <v>6079.0265127416078</v>
      </c>
    </row>
    <row r="150" spans="1:33" ht="11.25" customHeight="1" x14ac:dyDescent="0.25">
      <c r="A150" s="4" t="s">
        <v>21</v>
      </c>
      <c r="B150" s="4" t="s">
        <v>28</v>
      </c>
      <c r="C150" s="4" t="s">
        <v>23</v>
      </c>
      <c r="D150" s="4" t="s">
        <v>33</v>
      </c>
      <c r="E150" s="4" t="s">
        <v>25</v>
      </c>
      <c r="F150" s="4" t="s">
        <v>25</v>
      </c>
      <c r="G150" s="4" t="s">
        <v>25</v>
      </c>
      <c r="H150" s="4" t="s">
        <v>25</v>
      </c>
      <c r="I150" s="5">
        <v>44835</v>
      </c>
      <c r="J150" s="6">
        <v>0</v>
      </c>
      <c r="K150" s="6">
        <v>0</v>
      </c>
      <c r="L150" s="6">
        <v>29.611999999999998</v>
      </c>
      <c r="M150" s="6">
        <v>29.611999999999998</v>
      </c>
      <c r="N150" s="6">
        <v>29.611999999999998</v>
      </c>
      <c r="O150" s="6">
        <v>29.611999999999998</v>
      </c>
      <c r="P150" s="6">
        <v>71</v>
      </c>
      <c r="Q150" s="4" t="s">
        <v>26</v>
      </c>
      <c r="R150" s="4">
        <v>0</v>
      </c>
      <c r="S150" s="6">
        <v>0</v>
      </c>
      <c r="T150" s="6">
        <v>42</v>
      </c>
      <c r="U150" s="6">
        <v>50</v>
      </c>
      <c r="V150" s="6">
        <f>IF(ISERROR(VLOOKUP($S$150,'TAR FIN'!$A$1:$O$73,15,0)),0,VLOOKUP($S$150,'TAR FIN'!$A$1:$O$73,15,0))</f>
        <v>0</v>
      </c>
      <c r="W150" s="6">
        <f>IF(ISERROR(VLOOKUP($T$150,'TAR FIN'!$A$1:$O$73,15,0)),0,VLOOKUP($T$150,'TAR FIN'!$A$1:$O$73,15,0))</f>
        <v>384.85</v>
      </c>
      <c r="X150" s="6">
        <f>IF(ISERROR(VLOOKUP($U$150,'TAR FIN'!$A$1:$O$73,15,0)),0,VLOOKUP($U$150,'TAR FIN'!$A$1:$O$73,15,0))</f>
        <v>248.09</v>
      </c>
      <c r="Y150" s="6"/>
      <c r="Z150" s="6">
        <f ca="1">('TUSD BE'!$AM$48+'TUSD BF'!$AM$48+'TUSD CVA'!$AM$48)*1</f>
        <v>486.0916419076849</v>
      </c>
      <c r="AA150" s="6">
        <f>('TE BE'!$AB$38+'TE BF'!$AB$38+'TE CVA'!$AB$38)*1</f>
        <v>192.10069561515587</v>
      </c>
      <c r="AB150" s="6">
        <f>$K$150*$V$150</f>
        <v>0</v>
      </c>
      <c r="AC150" s="6">
        <f>$M$150*$W$150</f>
        <v>11396.1782</v>
      </c>
      <c r="AD150" s="6">
        <f>$O$150*$X$150</f>
        <v>7346.4410799999996</v>
      </c>
      <c r="AE150" s="6">
        <f>$K$150*$Y$150</f>
        <v>0</v>
      </c>
      <c r="AF150" s="6">
        <f ca="1">$M$150*$Z$150</f>
        <v>14394.145700170364</v>
      </c>
      <c r="AG150" s="6">
        <f>$O$150*$AA$150</f>
        <v>5688.4857985559956</v>
      </c>
    </row>
    <row r="151" spans="1:33" ht="11.25" customHeight="1" x14ac:dyDescent="0.25">
      <c r="A151" s="4" t="s">
        <v>21</v>
      </c>
      <c r="B151" s="4" t="s">
        <v>28</v>
      </c>
      <c r="C151" s="4" t="s">
        <v>23</v>
      </c>
      <c r="D151" s="4" t="s">
        <v>37</v>
      </c>
      <c r="E151" s="4" t="s">
        <v>38</v>
      </c>
      <c r="F151" s="4" t="s">
        <v>25</v>
      </c>
      <c r="G151" s="4" t="s">
        <v>25</v>
      </c>
      <c r="H151" s="4" t="s">
        <v>25</v>
      </c>
      <c r="I151" s="5">
        <v>44501</v>
      </c>
      <c r="J151" s="6">
        <v>0</v>
      </c>
      <c r="K151" s="58">
        <v>0</v>
      </c>
      <c r="L151" s="6">
        <v>0.96799999999999997</v>
      </c>
      <c r="M151" s="58">
        <v>0.96799999999999997</v>
      </c>
      <c r="N151" s="6">
        <v>0.96799999999999997</v>
      </c>
      <c r="O151" s="58">
        <v>0.96799999999999997</v>
      </c>
      <c r="P151" s="6">
        <v>3</v>
      </c>
      <c r="Q151" s="4" t="s">
        <v>26</v>
      </c>
      <c r="R151" s="4">
        <v>0</v>
      </c>
      <c r="S151" s="6">
        <v>0</v>
      </c>
      <c r="T151" s="6">
        <v>42</v>
      </c>
      <c r="U151" s="6">
        <v>50</v>
      </c>
      <c r="V151" s="58">
        <f>IF(ISERROR(VLOOKUP($S$151,'TAR FIN'!$A$1:$O$73,15,0)),0,VLOOKUP($S$151,'TAR FIN'!$A$1:$O$73,15,0))</f>
        <v>0</v>
      </c>
      <c r="W151" s="58">
        <f>IF(ISERROR(VLOOKUP($T$151,'TAR FIN'!$A$1:$O$73,15,0)),0,VLOOKUP($T$151,'TAR FIN'!$A$1:$O$73,15,0))*(1-0.06)</f>
        <v>361.75900000000001</v>
      </c>
      <c r="X151" s="58">
        <f>IF(ISERROR(VLOOKUP($U$151,'TAR FIN'!$A$1:$O$73,15,0)),0,VLOOKUP($U$151,'TAR FIN'!$A$1:$O$73,15,0))*(1-0.06)</f>
        <v>233.2046</v>
      </c>
      <c r="Y151" s="58"/>
      <c r="Z151" s="58">
        <f ca="1">('TUSD BE'!$AM$48+'TUSD BF'!$AM$48+'TUSD CVA'!$AM$48)*1*(1-0.03)</f>
        <v>471.50889265045436</v>
      </c>
      <c r="AA151" s="58">
        <f>('TE BE'!$AB$38+'TE BF'!$AB$38+'TE CVA'!$AB$38)*1*(1-0.03)</f>
        <v>186.3376747467012</v>
      </c>
      <c r="AB151" s="6">
        <f>$K$151*$V$151</f>
        <v>0</v>
      </c>
      <c r="AC151" s="6">
        <f>$M$151*$W$151</f>
        <v>350.18271199999998</v>
      </c>
      <c r="AD151" s="6">
        <f>$O$151*$X$151</f>
        <v>225.74205279999998</v>
      </c>
      <c r="AE151" s="6">
        <f>$K$151*$Y$151</f>
        <v>0</v>
      </c>
      <c r="AF151" s="6">
        <f ca="1">$M$151*$Z$151</f>
        <v>456.4206080856398</v>
      </c>
      <c r="AG151" s="6">
        <f>$O$151*$AA$151</f>
        <v>180.37486915480676</v>
      </c>
    </row>
    <row r="152" spans="1:33" ht="11.25" customHeight="1" x14ac:dyDescent="0.25">
      <c r="A152" s="4" t="s">
        <v>21</v>
      </c>
      <c r="B152" s="4" t="s">
        <v>28</v>
      </c>
      <c r="C152" s="4" t="s">
        <v>23</v>
      </c>
      <c r="D152" s="4" t="s">
        <v>37</v>
      </c>
      <c r="E152" s="4" t="s">
        <v>38</v>
      </c>
      <c r="F152" s="4" t="s">
        <v>25</v>
      </c>
      <c r="G152" s="4" t="s">
        <v>25</v>
      </c>
      <c r="H152" s="4" t="s">
        <v>25</v>
      </c>
      <c r="I152" s="5">
        <v>44531</v>
      </c>
      <c r="J152" s="6">
        <v>0</v>
      </c>
      <c r="K152" s="58">
        <v>0</v>
      </c>
      <c r="L152" s="6">
        <v>1.024</v>
      </c>
      <c r="M152" s="58">
        <v>1.024</v>
      </c>
      <c r="N152" s="6">
        <v>1.024</v>
      </c>
      <c r="O152" s="58">
        <v>1.024</v>
      </c>
      <c r="P152" s="6">
        <v>3</v>
      </c>
      <c r="Q152" s="4" t="s">
        <v>26</v>
      </c>
      <c r="R152" s="4">
        <v>0</v>
      </c>
      <c r="S152" s="6">
        <v>0</v>
      </c>
      <c r="T152" s="6">
        <v>42</v>
      </c>
      <c r="U152" s="6">
        <v>50</v>
      </c>
      <c r="V152" s="58">
        <f>IF(ISERROR(VLOOKUP($S$152,'TAR FIN'!$A$1:$O$73,15,0)),0,VLOOKUP($S$152,'TAR FIN'!$A$1:$O$73,15,0))</f>
        <v>0</v>
      </c>
      <c r="W152" s="58">
        <f>IF(ISERROR(VLOOKUP($T$152,'TAR FIN'!$A$1:$O$73,15,0)),0,VLOOKUP($T$152,'TAR FIN'!$A$1:$O$73,15,0))*(1-0.06)</f>
        <v>361.75900000000001</v>
      </c>
      <c r="X152" s="58">
        <f>IF(ISERROR(VLOOKUP($U$152,'TAR FIN'!$A$1:$O$73,15,0)),0,VLOOKUP($U$152,'TAR FIN'!$A$1:$O$73,15,0))*(1-0.06)</f>
        <v>233.2046</v>
      </c>
      <c r="Y152" s="58"/>
      <c r="Z152" s="58">
        <f ca="1">('TUSD BE'!$AM$48+'TUSD BF'!$AM$48+'TUSD CVA'!$AM$48)*1*(1-0.03)</f>
        <v>471.50889265045436</v>
      </c>
      <c r="AA152" s="58">
        <f>('TE BE'!$AB$38+'TE BF'!$AB$38+'TE CVA'!$AB$38)*1*(1-0.03)</f>
        <v>186.3376747467012</v>
      </c>
      <c r="AB152" s="6">
        <f>$K$152*$V$152</f>
        <v>0</v>
      </c>
      <c r="AC152" s="6">
        <f>$M$152*$W$152</f>
        <v>370.441216</v>
      </c>
      <c r="AD152" s="6">
        <f>$O$152*$X$152</f>
        <v>238.80151040000001</v>
      </c>
      <c r="AE152" s="6">
        <f>$K$152*$Y$152</f>
        <v>0</v>
      </c>
      <c r="AF152" s="6">
        <f ca="1">$M$152*$Z$152</f>
        <v>482.82510607406527</v>
      </c>
      <c r="AG152" s="6">
        <f>$O$152*$AA$152</f>
        <v>190.80977894062204</v>
      </c>
    </row>
    <row r="153" spans="1:33" ht="11.25" customHeight="1" x14ac:dyDescent="0.25">
      <c r="A153" s="4" t="s">
        <v>21</v>
      </c>
      <c r="B153" s="4" t="s">
        <v>28</v>
      </c>
      <c r="C153" s="4" t="s">
        <v>23</v>
      </c>
      <c r="D153" s="4" t="s">
        <v>37</v>
      </c>
      <c r="E153" s="4" t="s">
        <v>38</v>
      </c>
      <c r="F153" s="4" t="s">
        <v>25</v>
      </c>
      <c r="G153" s="4" t="s">
        <v>25</v>
      </c>
      <c r="H153" s="4" t="s">
        <v>25</v>
      </c>
      <c r="I153" s="5">
        <v>44562</v>
      </c>
      <c r="J153" s="6">
        <v>0</v>
      </c>
      <c r="K153" s="58">
        <v>0</v>
      </c>
      <c r="L153" s="6">
        <v>1.095</v>
      </c>
      <c r="M153" s="58">
        <v>1.095</v>
      </c>
      <c r="N153" s="6">
        <v>1.095</v>
      </c>
      <c r="O153" s="58">
        <v>1.095</v>
      </c>
      <c r="P153" s="6">
        <v>3</v>
      </c>
      <c r="Q153" s="4" t="s">
        <v>26</v>
      </c>
      <c r="R153" s="4">
        <v>0</v>
      </c>
      <c r="S153" s="6">
        <v>0</v>
      </c>
      <c r="T153" s="6">
        <v>42</v>
      </c>
      <c r="U153" s="6">
        <v>50</v>
      </c>
      <c r="V153" s="58">
        <f>IF(ISERROR(VLOOKUP($S$153,'TAR FIN'!$A$1:$O$73,15,0)),0,VLOOKUP($S$153,'TAR FIN'!$A$1:$O$73,15,0))</f>
        <v>0</v>
      </c>
      <c r="W153" s="58">
        <f>IF(ISERROR(VLOOKUP($T$153,'TAR FIN'!$A$1:$O$73,15,0)),0,VLOOKUP($T$153,'TAR FIN'!$A$1:$O$73,15,0))*(1-0.06)</f>
        <v>361.75900000000001</v>
      </c>
      <c r="X153" s="58">
        <f>IF(ISERROR(VLOOKUP($U$153,'TAR FIN'!$A$1:$O$73,15,0)),0,VLOOKUP($U$153,'TAR FIN'!$A$1:$O$73,15,0))*(1-0.06)</f>
        <v>233.2046</v>
      </c>
      <c r="Y153" s="58"/>
      <c r="Z153" s="58">
        <f ca="1">('TUSD BE'!$AM$48+'TUSD BF'!$AM$48+'TUSD CVA'!$AM$48)*1*(1-0.03)</f>
        <v>471.50889265045436</v>
      </c>
      <c r="AA153" s="58">
        <f>('TE BE'!$AB$38+'TE BF'!$AB$38+'TE CVA'!$AB$38)*1*(1-0.03)</f>
        <v>186.3376747467012</v>
      </c>
      <c r="AB153" s="6">
        <f>$K$153*$V$153</f>
        <v>0</v>
      </c>
      <c r="AC153" s="6">
        <f>$M$153*$W$153</f>
        <v>396.126105</v>
      </c>
      <c r="AD153" s="6">
        <f>$O$153*$X$153</f>
        <v>255.359037</v>
      </c>
      <c r="AE153" s="6">
        <f>$K$153*$Y$153</f>
        <v>0</v>
      </c>
      <c r="AF153" s="6">
        <f ca="1">$M$153*$Z$153</f>
        <v>516.30223745224748</v>
      </c>
      <c r="AG153" s="6">
        <f>$O$153*$AA$153</f>
        <v>204.0397538476378</v>
      </c>
    </row>
    <row r="154" spans="1:33" ht="11.25" customHeight="1" x14ac:dyDescent="0.25">
      <c r="A154" s="4" t="s">
        <v>21</v>
      </c>
      <c r="B154" s="4" t="s">
        <v>28</v>
      </c>
      <c r="C154" s="4" t="s">
        <v>23</v>
      </c>
      <c r="D154" s="4" t="s">
        <v>37</v>
      </c>
      <c r="E154" s="4" t="s">
        <v>38</v>
      </c>
      <c r="F154" s="4" t="s">
        <v>25</v>
      </c>
      <c r="G154" s="4" t="s">
        <v>25</v>
      </c>
      <c r="H154" s="4" t="s">
        <v>25</v>
      </c>
      <c r="I154" s="5">
        <v>44593</v>
      </c>
      <c r="J154" s="6">
        <v>0</v>
      </c>
      <c r="K154" s="58">
        <v>0</v>
      </c>
      <c r="L154" s="6">
        <v>0.95699999999999996</v>
      </c>
      <c r="M154" s="58">
        <v>0.95699999999999996</v>
      </c>
      <c r="N154" s="6">
        <v>0.95699999999999996</v>
      </c>
      <c r="O154" s="58">
        <v>0.95699999999999996</v>
      </c>
      <c r="P154" s="6">
        <v>3</v>
      </c>
      <c r="Q154" s="4" t="s">
        <v>26</v>
      </c>
      <c r="R154" s="4">
        <v>0</v>
      </c>
      <c r="S154" s="6">
        <v>0</v>
      </c>
      <c r="T154" s="6">
        <v>42</v>
      </c>
      <c r="U154" s="6">
        <v>50</v>
      </c>
      <c r="V154" s="58">
        <f>IF(ISERROR(VLOOKUP($S$154,'TAR FIN'!$A$1:$O$73,15,0)),0,VLOOKUP($S$154,'TAR FIN'!$A$1:$O$73,15,0))</f>
        <v>0</v>
      </c>
      <c r="W154" s="58">
        <f>IF(ISERROR(VLOOKUP($T$154,'TAR FIN'!$A$1:$O$73,15,0)),0,VLOOKUP($T$154,'TAR FIN'!$A$1:$O$73,15,0))*(1-0.06)</f>
        <v>361.75900000000001</v>
      </c>
      <c r="X154" s="58">
        <f>IF(ISERROR(VLOOKUP($U$154,'TAR FIN'!$A$1:$O$73,15,0)),0,VLOOKUP($U$154,'TAR FIN'!$A$1:$O$73,15,0))*(1-0.06)</f>
        <v>233.2046</v>
      </c>
      <c r="Y154" s="58"/>
      <c r="Z154" s="58">
        <f ca="1">('TUSD BE'!$AM$48+'TUSD BF'!$AM$48+'TUSD CVA'!$AM$48)*1*(1-0.03)</f>
        <v>471.50889265045436</v>
      </c>
      <c r="AA154" s="58">
        <f>('TE BE'!$AB$38+'TE BF'!$AB$38+'TE CVA'!$AB$38)*1*(1-0.03)</f>
        <v>186.3376747467012</v>
      </c>
      <c r="AB154" s="6">
        <f>$K$154*$V$154</f>
        <v>0</v>
      </c>
      <c r="AC154" s="6">
        <f>$M$154*$W$154</f>
        <v>346.20336300000002</v>
      </c>
      <c r="AD154" s="6">
        <f>$O$154*$X$154</f>
        <v>223.1768022</v>
      </c>
      <c r="AE154" s="6">
        <f>$K$154*$Y$154</f>
        <v>0</v>
      </c>
      <c r="AF154" s="6">
        <f ca="1">$M$154*$Z$154</f>
        <v>451.2340102664848</v>
      </c>
      <c r="AG154" s="6">
        <f>$O$154*$AA$154</f>
        <v>178.32515473259303</v>
      </c>
    </row>
    <row r="155" spans="1:33" ht="11.25" customHeight="1" x14ac:dyDescent="0.25">
      <c r="A155" s="4" t="s">
        <v>21</v>
      </c>
      <c r="B155" s="4" t="s">
        <v>28</v>
      </c>
      <c r="C155" s="4" t="s">
        <v>23</v>
      </c>
      <c r="D155" s="4" t="s">
        <v>37</v>
      </c>
      <c r="E155" s="4" t="s">
        <v>38</v>
      </c>
      <c r="F155" s="4" t="s">
        <v>25</v>
      </c>
      <c r="G155" s="4" t="s">
        <v>25</v>
      </c>
      <c r="H155" s="4" t="s">
        <v>25</v>
      </c>
      <c r="I155" s="5">
        <v>44621</v>
      </c>
      <c r="J155" s="6">
        <v>0</v>
      </c>
      <c r="K155" s="58">
        <v>0</v>
      </c>
      <c r="L155" s="6">
        <v>1.0089999999999999</v>
      </c>
      <c r="M155" s="58">
        <v>1.0089999999999999</v>
      </c>
      <c r="N155" s="6">
        <v>1.0089999999999999</v>
      </c>
      <c r="O155" s="58">
        <v>1.0089999999999999</v>
      </c>
      <c r="P155" s="6">
        <v>3</v>
      </c>
      <c r="Q155" s="4" t="s">
        <v>26</v>
      </c>
      <c r="R155" s="4">
        <v>0</v>
      </c>
      <c r="S155" s="6">
        <v>0</v>
      </c>
      <c r="T155" s="6">
        <v>42</v>
      </c>
      <c r="U155" s="6">
        <v>50</v>
      </c>
      <c r="V155" s="58">
        <f>IF(ISERROR(VLOOKUP($S$155,'TAR FIN'!$A$1:$O$73,15,0)),0,VLOOKUP($S$155,'TAR FIN'!$A$1:$O$73,15,0))</f>
        <v>0</v>
      </c>
      <c r="W155" s="58">
        <f>IF(ISERROR(VLOOKUP($T$155,'TAR FIN'!$A$1:$O$73,15,0)),0,VLOOKUP($T$155,'TAR FIN'!$A$1:$O$73,15,0))*(1-0.06)</f>
        <v>361.75900000000001</v>
      </c>
      <c r="X155" s="58">
        <f>IF(ISERROR(VLOOKUP($U$155,'TAR FIN'!$A$1:$O$73,15,0)),0,VLOOKUP($U$155,'TAR FIN'!$A$1:$O$73,15,0))*(1-0.06)</f>
        <v>233.2046</v>
      </c>
      <c r="Y155" s="58"/>
      <c r="Z155" s="58">
        <f ca="1">('TUSD BE'!$AM$48+'TUSD BF'!$AM$48+'TUSD CVA'!$AM$48)*1*(1-0.03)</f>
        <v>471.50889265045436</v>
      </c>
      <c r="AA155" s="58">
        <f>('TE BE'!$AB$38+'TE BF'!$AB$38+'TE CVA'!$AB$38)*1*(1-0.03)</f>
        <v>186.3376747467012</v>
      </c>
      <c r="AB155" s="6">
        <f>$K$155*$V$155</f>
        <v>0</v>
      </c>
      <c r="AC155" s="6">
        <f>$M$155*$W$155</f>
        <v>365.01483099999996</v>
      </c>
      <c r="AD155" s="6">
        <f>$O$155*$X$155</f>
        <v>235.30344139999997</v>
      </c>
      <c r="AE155" s="6">
        <f>$K$155*$Y$155</f>
        <v>0</v>
      </c>
      <c r="AF155" s="6">
        <f ca="1">$M$155*$Z$155</f>
        <v>475.75247268430837</v>
      </c>
      <c r="AG155" s="6">
        <f>$O$155*$AA$155</f>
        <v>188.0147138194215</v>
      </c>
    </row>
    <row r="156" spans="1:33" ht="11.25" customHeight="1" x14ac:dyDescent="0.25">
      <c r="A156" s="4" t="s">
        <v>21</v>
      </c>
      <c r="B156" s="4" t="s">
        <v>28</v>
      </c>
      <c r="C156" s="4" t="s">
        <v>23</v>
      </c>
      <c r="D156" s="4" t="s">
        <v>37</v>
      </c>
      <c r="E156" s="4" t="s">
        <v>38</v>
      </c>
      <c r="F156" s="4" t="s">
        <v>25</v>
      </c>
      <c r="G156" s="4" t="s">
        <v>25</v>
      </c>
      <c r="H156" s="4" t="s">
        <v>25</v>
      </c>
      <c r="I156" s="5">
        <v>44652</v>
      </c>
      <c r="J156" s="6">
        <v>0</v>
      </c>
      <c r="K156" s="58">
        <v>0</v>
      </c>
      <c r="L156" s="6">
        <v>1.028</v>
      </c>
      <c r="M156" s="58">
        <v>1.028</v>
      </c>
      <c r="N156" s="6">
        <v>1.028</v>
      </c>
      <c r="O156" s="58">
        <v>1.028</v>
      </c>
      <c r="P156" s="6">
        <v>3</v>
      </c>
      <c r="Q156" s="4" t="s">
        <v>26</v>
      </c>
      <c r="R156" s="4">
        <v>0</v>
      </c>
      <c r="S156" s="6">
        <v>0</v>
      </c>
      <c r="T156" s="6">
        <v>42</v>
      </c>
      <c r="U156" s="6">
        <v>50</v>
      </c>
      <c r="V156" s="58">
        <f>IF(ISERROR(VLOOKUP($S$156,'TAR FIN'!$A$1:$O$73,15,0)),0,VLOOKUP($S$156,'TAR FIN'!$A$1:$O$73,15,0))</f>
        <v>0</v>
      </c>
      <c r="W156" s="58">
        <f>IF(ISERROR(VLOOKUP($T$156,'TAR FIN'!$A$1:$O$73,15,0)),0,VLOOKUP($T$156,'TAR FIN'!$A$1:$O$73,15,0))*(1-0.06)</f>
        <v>361.75900000000001</v>
      </c>
      <c r="X156" s="58">
        <f>IF(ISERROR(VLOOKUP($U$156,'TAR FIN'!$A$1:$O$73,15,0)),0,VLOOKUP($U$156,'TAR FIN'!$A$1:$O$73,15,0))*(1-0.06)</f>
        <v>233.2046</v>
      </c>
      <c r="Y156" s="58"/>
      <c r="Z156" s="58">
        <f ca="1">('TUSD BE'!$AM$48+'TUSD BF'!$AM$48+'TUSD CVA'!$AM$48)*1*(1-0.03)</f>
        <v>471.50889265045436</v>
      </c>
      <c r="AA156" s="58">
        <f>('TE BE'!$AB$38+'TE BF'!$AB$38+'TE CVA'!$AB$38)*1*(1-0.03)</f>
        <v>186.3376747467012</v>
      </c>
      <c r="AB156" s="6">
        <f>$K$156*$V$156</f>
        <v>0</v>
      </c>
      <c r="AC156" s="6">
        <f>$M$156*$W$156</f>
        <v>371.88825200000002</v>
      </c>
      <c r="AD156" s="6">
        <f>$O$156*$X$156</f>
        <v>239.73432880000001</v>
      </c>
      <c r="AE156" s="6">
        <f>$K$156*$Y$156</f>
        <v>0</v>
      </c>
      <c r="AF156" s="6">
        <f ca="1">$M$156*$Z$156</f>
        <v>484.71114164466707</v>
      </c>
      <c r="AG156" s="6">
        <f>$O$156*$AA$156</f>
        <v>191.55512963960882</v>
      </c>
    </row>
    <row r="157" spans="1:33" ht="11.25" customHeight="1" x14ac:dyDescent="0.25">
      <c r="A157" s="4" t="s">
        <v>21</v>
      </c>
      <c r="B157" s="4" t="s">
        <v>28</v>
      </c>
      <c r="C157" s="4" t="s">
        <v>23</v>
      </c>
      <c r="D157" s="4" t="s">
        <v>37</v>
      </c>
      <c r="E157" s="4" t="s">
        <v>38</v>
      </c>
      <c r="F157" s="4" t="s">
        <v>25</v>
      </c>
      <c r="G157" s="4" t="s">
        <v>25</v>
      </c>
      <c r="H157" s="4" t="s">
        <v>25</v>
      </c>
      <c r="I157" s="5">
        <v>44682</v>
      </c>
      <c r="J157" s="6">
        <v>0</v>
      </c>
      <c r="K157" s="58">
        <v>0</v>
      </c>
      <c r="L157" s="6">
        <v>1.1619999999999999</v>
      </c>
      <c r="M157" s="58">
        <v>1.1619999999999999</v>
      </c>
      <c r="N157" s="6">
        <v>1.1619999999999999</v>
      </c>
      <c r="O157" s="58">
        <v>1.1619999999999999</v>
      </c>
      <c r="P157" s="6">
        <v>3</v>
      </c>
      <c r="Q157" s="4" t="s">
        <v>26</v>
      </c>
      <c r="R157" s="4">
        <v>0</v>
      </c>
      <c r="S157" s="6">
        <v>0</v>
      </c>
      <c r="T157" s="6">
        <v>42</v>
      </c>
      <c r="U157" s="6">
        <v>50</v>
      </c>
      <c r="V157" s="58">
        <f>IF(ISERROR(VLOOKUP($S$157,'TAR FIN'!$A$1:$O$73,15,0)),0,VLOOKUP($S$157,'TAR FIN'!$A$1:$O$73,15,0))</f>
        <v>0</v>
      </c>
      <c r="W157" s="58">
        <f>IF(ISERROR(VLOOKUP($T$157,'TAR FIN'!$A$1:$O$73,15,0)),0,VLOOKUP($T$157,'TAR FIN'!$A$1:$O$73,15,0))*(1-0.06)</f>
        <v>361.75900000000001</v>
      </c>
      <c r="X157" s="58">
        <f>IF(ISERROR(VLOOKUP($U$157,'TAR FIN'!$A$1:$O$73,15,0)),0,VLOOKUP($U$157,'TAR FIN'!$A$1:$O$73,15,0))*(1-0.06)</f>
        <v>233.2046</v>
      </c>
      <c r="Y157" s="58"/>
      <c r="Z157" s="58">
        <f ca="1">('TUSD BE'!$AM$48+'TUSD BF'!$AM$48+'TUSD CVA'!$AM$48)*1*(1-0.03)</f>
        <v>471.50889265045436</v>
      </c>
      <c r="AA157" s="58">
        <f>('TE BE'!$AB$38+'TE BF'!$AB$38+'TE CVA'!$AB$38)*1*(1-0.03)</f>
        <v>186.3376747467012</v>
      </c>
      <c r="AB157" s="6">
        <f>$K$157*$V$157</f>
        <v>0</v>
      </c>
      <c r="AC157" s="6">
        <f>$M$157*$W$157</f>
        <v>420.36395799999997</v>
      </c>
      <c r="AD157" s="6">
        <f>$O$157*$X$157</f>
        <v>270.98374519999999</v>
      </c>
      <c r="AE157" s="6">
        <f>$K$157*$Y$157</f>
        <v>0</v>
      </c>
      <c r="AF157" s="6">
        <f ca="1">$M$157*$Z$157</f>
        <v>547.89333325982795</v>
      </c>
      <c r="AG157" s="6">
        <f>$O$157*$AA$157</f>
        <v>216.52437805566677</v>
      </c>
    </row>
    <row r="158" spans="1:33" ht="11.25" customHeight="1" x14ac:dyDescent="0.25">
      <c r="A158" s="4" t="s">
        <v>21</v>
      </c>
      <c r="B158" s="4" t="s">
        <v>28</v>
      </c>
      <c r="C158" s="4" t="s">
        <v>23</v>
      </c>
      <c r="D158" s="4" t="s">
        <v>37</v>
      </c>
      <c r="E158" s="4" t="s">
        <v>38</v>
      </c>
      <c r="F158" s="4" t="s">
        <v>25</v>
      </c>
      <c r="G158" s="4" t="s">
        <v>25</v>
      </c>
      <c r="H158" s="4" t="s">
        <v>25</v>
      </c>
      <c r="I158" s="5">
        <v>44713</v>
      </c>
      <c r="J158" s="6">
        <v>0</v>
      </c>
      <c r="K158" s="58">
        <v>0</v>
      </c>
      <c r="L158" s="6">
        <v>0.93</v>
      </c>
      <c r="M158" s="58">
        <v>0.93</v>
      </c>
      <c r="N158" s="6">
        <v>0.93</v>
      </c>
      <c r="O158" s="58">
        <v>0.93</v>
      </c>
      <c r="P158" s="6">
        <v>3</v>
      </c>
      <c r="Q158" s="4" t="s">
        <v>26</v>
      </c>
      <c r="R158" s="4">
        <v>0</v>
      </c>
      <c r="S158" s="6">
        <v>0</v>
      </c>
      <c r="T158" s="6">
        <v>42</v>
      </c>
      <c r="U158" s="6">
        <v>50</v>
      </c>
      <c r="V158" s="58">
        <f>IF(ISERROR(VLOOKUP($S$158,'TAR FIN'!$A$1:$O$73,15,0)),0,VLOOKUP($S$158,'TAR FIN'!$A$1:$O$73,15,0))</f>
        <v>0</v>
      </c>
      <c r="W158" s="58">
        <f>IF(ISERROR(VLOOKUP($T$158,'TAR FIN'!$A$1:$O$73,15,0)),0,VLOOKUP($T$158,'TAR FIN'!$A$1:$O$73,15,0))*(1-0.06)</f>
        <v>361.75900000000001</v>
      </c>
      <c r="X158" s="58">
        <f>IF(ISERROR(VLOOKUP($U$158,'TAR FIN'!$A$1:$O$73,15,0)),0,VLOOKUP($U$158,'TAR FIN'!$A$1:$O$73,15,0))*(1-0.06)</f>
        <v>233.2046</v>
      </c>
      <c r="Y158" s="58"/>
      <c r="Z158" s="58">
        <f ca="1">('TUSD BE'!$AM$48+'TUSD BF'!$AM$48+'TUSD CVA'!$AM$48)*1*(1-0.03)</f>
        <v>471.50889265045436</v>
      </c>
      <c r="AA158" s="58">
        <f>('TE BE'!$AB$38+'TE BF'!$AB$38+'TE CVA'!$AB$38)*1*(1-0.03)</f>
        <v>186.3376747467012</v>
      </c>
      <c r="AB158" s="6">
        <f>$K$158*$V$158</f>
        <v>0</v>
      </c>
      <c r="AC158" s="6">
        <f>$M$158*$W$158</f>
        <v>336.43587000000002</v>
      </c>
      <c r="AD158" s="6">
        <f>$O$158*$X$158</f>
        <v>216.880278</v>
      </c>
      <c r="AE158" s="6">
        <f>$K$158*$Y$158</f>
        <v>0</v>
      </c>
      <c r="AF158" s="6">
        <f ca="1">$M$158*$Z$158</f>
        <v>438.50327016492258</v>
      </c>
      <c r="AG158" s="6">
        <f>$O$158*$AA$158</f>
        <v>173.29403751443212</v>
      </c>
    </row>
    <row r="159" spans="1:33" ht="11.25" customHeight="1" x14ac:dyDescent="0.25">
      <c r="A159" s="4" t="s">
        <v>21</v>
      </c>
      <c r="B159" s="4" t="s">
        <v>28</v>
      </c>
      <c r="C159" s="4" t="s">
        <v>23</v>
      </c>
      <c r="D159" s="4" t="s">
        <v>37</v>
      </c>
      <c r="E159" s="4" t="s">
        <v>38</v>
      </c>
      <c r="F159" s="4" t="s">
        <v>25</v>
      </c>
      <c r="G159" s="4" t="s">
        <v>25</v>
      </c>
      <c r="H159" s="4" t="s">
        <v>25</v>
      </c>
      <c r="I159" s="5">
        <v>44743</v>
      </c>
      <c r="J159" s="6">
        <v>0</v>
      </c>
      <c r="K159" s="58">
        <v>0</v>
      </c>
      <c r="L159" s="6">
        <v>0.749</v>
      </c>
      <c r="M159" s="58">
        <v>0.749</v>
      </c>
      <c r="N159" s="6">
        <v>0.749</v>
      </c>
      <c r="O159" s="58">
        <v>0.749</v>
      </c>
      <c r="P159" s="6">
        <v>3</v>
      </c>
      <c r="Q159" s="4" t="s">
        <v>26</v>
      </c>
      <c r="R159" s="4">
        <v>0</v>
      </c>
      <c r="S159" s="6">
        <v>0</v>
      </c>
      <c r="T159" s="6">
        <v>42</v>
      </c>
      <c r="U159" s="6">
        <v>50</v>
      </c>
      <c r="V159" s="58">
        <f>IF(ISERROR(VLOOKUP($S$159,'TAR FIN'!$A$1:$O$73,15,0)),0,VLOOKUP($S$159,'TAR FIN'!$A$1:$O$73,15,0))</f>
        <v>0</v>
      </c>
      <c r="W159" s="58">
        <f>IF(ISERROR(VLOOKUP($T$159,'TAR FIN'!$A$1:$O$73,15,0)),0,VLOOKUP($T$159,'TAR FIN'!$A$1:$O$73,15,0))*(1-0.06)</f>
        <v>361.75900000000001</v>
      </c>
      <c r="X159" s="58">
        <f>IF(ISERROR(VLOOKUP($U$159,'TAR FIN'!$A$1:$O$73,15,0)),0,VLOOKUP($U$159,'TAR FIN'!$A$1:$O$73,15,0))*(1-0.06)</f>
        <v>233.2046</v>
      </c>
      <c r="Y159" s="58"/>
      <c r="Z159" s="58">
        <f ca="1">('TUSD BE'!$AM$48+'TUSD BF'!$AM$48+'TUSD CVA'!$AM$48)*1*(1-0.03)</f>
        <v>471.50889265045436</v>
      </c>
      <c r="AA159" s="58">
        <f>('TE BE'!$AB$38+'TE BF'!$AB$38+'TE CVA'!$AB$38)*1*(1-0.03)</f>
        <v>186.3376747467012</v>
      </c>
      <c r="AB159" s="6">
        <f>$K$159*$V$159</f>
        <v>0</v>
      </c>
      <c r="AC159" s="6">
        <f>$M$159*$W$159</f>
        <v>270.957491</v>
      </c>
      <c r="AD159" s="6">
        <f>$O$159*$X$159</f>
        <v>174.6702454</v>
      </c>
      <c r="AE159" s="6">
        <f>$K$159*$Y$159</f>
        <v>0</v>
      </c>
      <c r="AF159" s="6">
        <f ca="1">$M$159*$Z$159</f>
        <v>353.16016059519029</v>
      </c>
      <c r="AG159" s="6">
        <f>$O$159*$AA$159</f>
        <v>139.56691838527919</v>
      </c>
    </row>
    <row r="160" spans="1:33" ht="11.25" customHeight="1" x14ac:dyDescent="0.25">
      <c r="A160" s="4" t="s">
        <v>21</v>
      </c>
      <c r="B160" s="4" t="s">
        <v>28</v>
      </c>
      <c r="C160" s="4" t="s">
        <v>23</v>
      </c>
      <c r="D160" s="4" t="s">
        <v>37</v>
      </c>
      <c r="E160" s="4" t="s">
        <v>38</v>
      </c>
      <c r="F160" s="4" t="s">
        <v>25</v>
      </c>
      <c r="G160" s="4" t="s">
        <v>25</v>
      </c>
      <c r="H160" s="4" t="s">
        <v>25</v>
      </c>
      <c r="I160" s="5">
        <v>44774</v>
      </c>
      <c r="J160" s="6">
        <v>0</v>
      </c>
      <c r="K160" s="58">
        <v>0</v>
      </c>
      <c r="L160" s="6">
        <v>0.77200000000000002</v>
      </c>
      <c r="M160" s="58">
        <v>0.77200000000000002</v>
      </c>
      <c r="N160" s="6">
        <v>0.77200000000000002</v>
      </c>
      <c r="O160" s="58">
        <v>0.77200000000000002</v>
      </c>
      <c r="P160" s="6">
        <v>3</v>
      </c>
      <c r="Q160" s="4" t="s">
        <v>26</v>
      </c>
      <c r="R160" s="4">
        <v>0</v>
      </c>
      <c r="S160" s="6">
        <v>0</v>
      </c>
      <c r="T160" s="6">
        <v>42</v>
      </c>
      <c r="U160" s="6">
        <v>50</v>
      </c>
      <c r="V160" s="58">
        <f>IF(ISERROR(VLOOKUP($S$160,'TAR FIN'!$A$1:$O$73,15,0)),0,VLOOKUP($S$160,'TAR FIN'!$A$1:$O$73,15,0))</f>
        <v>0</v>
      </c>
      <c r="W160" s="58">
        <f>IF(ISERROR(VLOOKUP($T$160,'TAR FIN'!$A$1:$O$73,15,0)),0,VLOOKUP($T$160,'TAR FIN'!$A$1:$O$73,15,0))*(1-0.06)</f>
        <v>361.75900000000001</v>
      </c>
      <c r="X160" s="58">
        <f>IF(ISERROR(VLOOKUP($U$160,'TAR FIN'!$A$1:$O$73,15,0)),0,VLOOKUP($U$160,'TAR FIN'!$A$1:$O$73,15,0))*(1-0.06)</f>
        <v>233.2046</v>
      </c>
      <c r="Y160" s="58"/>
      <c r="Z160" s="58">
        <f ca="1">('TUSD BE'!$AM$48+'TUSD BF'!$AM$48+'TUSD CVA'!$AM$48)*1*(1-0.03)</f>
        <v>471.50889265045436</v>
      </c>
      <c r="AA160" s="58">
        <f>('TE BE'!$AB$38+'TE BF'!$AB$38+'TE CVA'!$AB$38)*1*(1-0.03)</f>
        <v>186.3376747467012</v>
      </c>
      <c r="AB160" s="6">
        <f>$K$160*$V$160</f>
        <v>0</v>
      </c>
      <c r="AC160" s="6">
        <f>$M$160*$W$160</f>
        <v>279.27794800000004</v>
      </c>
      <c r="AD160" s="6">
        <f>$O$160*$X$160</f>
        <v>180.03395119999999</v>
      </c>
      <c r="AE160" s="6">
        <f>$K$160*$Y$160</f>
        <v>0</v>
      </c>
      <c r="AF160" s="6">
        <f ca="1">$M$160*$Z$160</f>
        <v>364.00486512615078</v>
      </c>
      <c r="AG160" s="6">
        <f>$O$160*$AA$160</f>
        <v>143.85268490445333</v>
      </c>
    </row>
    <row r="161" spans="1:33" ht="11.25" customHeight="1" x14ac:dyDescent="0.25">
      <c r="A161" s="4" t="s">
        <v>21</v>
      </c>
      <c r="B161" s="4" t="s">
        <v>28</v>
      </c>
      <c r="C161" s="4" t="s">
        <v>23</v>
      </c>
      <c r="D161" s="4" t="s">
        <v>37</v>
      </c>
      <c r="E161" s="4" t="s">
        <v>38</v>
      </c>
      <c r="F161" s="4" t="s">
        <v>25</v>
      </c>
      <c r="G161" s="4" t="s">
        <v>25</v>
      </c>
      <c r="H161" s="4" t="s">
        <v>25</v>
      </c>
      <c r="I161" s="5">
        <v>44805</v>
      </c>
      <c r="J161" s="6">
        <v>0</v>
      </c>
      <c r="K161" s="58">
        <v>0</v>
      </c>
      <c r="L161" s="6">
        <v>0.83299999999999996</v>
      </c>
      <c r="M161" s="58">
        <v>0.83299999999999996</v>
      </c>
      <c r="N161" s="6">
        <v>0.83299999999999996</v>
      </c>
      <c r="O161" s="58">
        <v>0.83299999999999996</v>
      </c>
      <c r="P161" s="6">
        <v>3</v>
      </c>
      <c r="Q161" s="4" t="s">
        <v>26</v>
      </c>
      <c r="R161" s="4">
        <v>0</v>
      </c>
      <c r="S161" s="6">
        <v>0</v>
      </c>
      <c r="T161" s="6">
        <v>42</v>
      </c>
      <c r="U161" s="6">
        <v>50</v>
      </c>
      <c r="V161" s="58">
        <f>IF(ISERROR(VLOOKUP($S$161,'TAR FIN'!$A$1:$O$73,15,0)),0,VLOOKUP($S$161,'TAR FIN'!$A$1:$O$73,15,0))</f>
        <v>0</v>
      </c>
      <c r="W161" s="58">
        <f>IF(ISERROR(VLOOKUP($T$161,'TAR FIN'!$A$1:$O$73,15,0)),0,VLOOKUP($T$161,'TAR FIN'!$A$1:$O$73,15,0))*(1-0.06)</f>
        <v>361.75900000000001</v>
      </c>
      <c r="X161" s="58">
        <f>IF(ISERROR(VLOOKUP($U$161,'TAR FIN'!$A$1:$O$73,15,0)),0,VLOOKUP($U$161,'TAR FIN'!$A$1:$O$73,15,0))*(1-0.06)</f>
        <v>233.2046</v>
      </c>
      <c r="Y161" s="58"/>
      <c r="Z161" s="58">
        <f ca="1">('TUSD BE'!$AM$48+'TUSD BF'!$AM$48+'TUSD CVA'!$AM$48)*1*(1-0.03)</f>
        <v>471.50889265045436</v>
      </c>
      <c r="AA161" s="58">
        <f>('TE BE'!$AB$38+'TE BF'!$AB$38+'TE CVA'!$AB$38)*1*(1-0.03)</f>
        <v>186.3376747467012</v>
      </c>
      <c r="AB161" s="6">
        <f>$K$161*$V$161</f>
        <v>0</v>
      </c>
      <c r="AC161" s="6">
        <f>$M$161*$W$161</f>
        <v>301.34524699999997</v>
      </c>
      <c r="AD161" s="6">
        <f>$O$161*$X$161</f>
        <v>194.25943179999999</v>
      </c>
      <c r="AE161" s="6">
        <f>$K$161*$Y$161</f>
        <v>0</v>
      </c>
      <c r="AF161" s="6">
        <f ca="1">$M$161*$Z$161</f>
        <v>392.76690757782848</v>
      </c>
      <c r="AG161" s="6">
        <f>$O$161*$AA$161</f>
        <v>155.2192830640021</v>
      </c>
    </row>
    <row r="162" spans="1:33" ht="11.25" customHeight="1" x14ac:dyDescent="0.25">
      <c r="A162" s="4" t="s">
        <v>21</v>
      </c>
      <c r="B162" s="4" t="s">
        <v>28</v>
      </c>
      <c r="C162" s="4" t="s">
        <v>23</v>
      </c>
      <c r="D162" s="4" t="s">
        <v>37</v>
      </c>
      <c r="E162" s="4" t="s">
        <v>38</v>
      </c>
      <c r="F162" s="4" t="s">
        <v>25</v>
      </c>
      <c r="G162" s="4" t="s">
        <v>25</v>
      </c>
      <c r="H162" s="4" t="s">
        <v>25</v>
      </c>
      <c r="I162" s="5">
        <v>44835</v>
      </c>
      <c r="J162" s="6">
        <v>0</v>
      </c>
      <c r="K162" s="58">
        <v>0</v>
      </c>
      <c r="L162" s="6">
        <v>0.81399999999999995</v>
      </c>
      <c r="M162" s="58">
        <v>0.81399999999999995</v>
      </c>
      <c r="N162" s="6">
        <v>0.81399999999999995</v>
      </c>
      <c r="O162" s="58">
        <v>0.81399999999999995</v>
      </c>
      <c r="P162" s="6">
        <v>3</v>
      </c>
      <c r="Q162" s="4" t="s">
        <v>26</v>
      </c>
      <c r="R162" s="4">
        <v>0</v>
      </c>
      <c r="S162" s="6">
        <v>0</v>
      </c>
      <c r="T162" s="6">
        <v>42</v>
      </c>
      <c r="U162" s="6">
        <v>50</v>
      </c>
      <c r="V162" s="58">
        <f>IF(ISERROR(VLOOKUP($S$162,'TAR FIN'!$A$1:$O$73,15,0)),0,VLOOKUP($S$162,'TAR FIN'!$A$1:$O$73,15,0))</f>
        <v>0</v>
      </c>
      <c r="W162" s="58">
        <f>IF(ISERROR(VLOOKUP($T$162,'TAR FIN'!$A$1:$O$73,15,0)),0,VLOOKUP($T$162,'TAR FIN'!$A$1:$O$73,15,0))*(1-0.06)</f>
        <v>361.75900000000001</v>
      </c>
      <c r="X162" s="58">
        <f>IF(ISERROR(VLOOKUP($U$162,'TAR FIN'!$A$1:$O$73,15,0)),0,VLOOKUP($U$162,'TAR FIN'!$A$1:$O$73,15,0))*(1-0.06)</f>
        <v>233.2046</v>
      </c>
      <c r="Y162" s="58"/>
      <c r="Z162" s="58">
        <f ca="1">('TUSD BE'!$AM$48+'TUSD BF'!$AM$48+'TUSD CVA'!$AM$48)*1*(1-0.03)</f>
        <v>471.50889265045436</v>
      </c>
      <c r="AA162" s="58">
        <f>('TE BE'!$AB$38+'TE BF'!$AB$38+'TE CVA'!$AB$38)*1*(1-0.03)</f>
        <v>186.3376747467012</v>
      </c>
      <c r="AB162" s="6">
        <f>$K$162*$V$162</f>
        <v>0</v>
      </c>
      <c r="AC162" s="6">
        <f>$M$162*$W$162</f>
        <v>294.47182599999996</v>
      </c>
      <c r="AD162" s="6">
        <f>$O$162*$X$162</f>
        <v>189.8285444</v>
      </c>
      <c r="AE162" s="6">
        <f>$K$162*$Y$162</f>
        <v>0</v>
      </c>
      <c r="AF162" s="6">
        <f ca="1">$M$162*$Z$162</f>
        <v>383.80823861746984</v>
      </c>
      <c r="AG162" s="6">
        <f>$O$162*$AA$162</f>
        <v>151.67886724381475</v>
      </c>
    </row>
    <row r="163" spans="1:33" ht="11.25" customHeight="1" x14ac:dyDescent="0.25">
      <c r="A163" s="4" t="s">
        <v>21</v>
      </c>
      <c r="B163" s="4" t="s">
        <v>34</v>
      </c>
      <c r="C163" s="4" t="s">
        <v>23</v>
      </c>
      <c r="D163" s="4" t="s">
        <v>35</v>
      </c>
      <c r="E163" s="4" t="s">
        <v>36</v>
      </c>
      <c r="F163" s="4" t="s">
        <v>25</v>
      </c>
      <c r="G163" s="4" t="s">
        <v>25</v>
      </c>
      <c r="H163" s="4" t="s">
        <v>25</v>
      </c>
      <c r="I163" s="5">
        <v>44501</v>
      </c>
      <c r="J163" s="6">
        <v>0</v>
      </c>
      <c r="K163" s="6">
        <v>0</v>
      </c>
      <c r="L163" s="6">
        <v>18.512</v>
      </c>
      <c r="M163" s="6">
        <v>18.512</v>
      </c>
      <c r="N163" s="6">
        <v>18.512</v>
      </c>
      <c r="O163" s="6">
        <v>18.512</v>
      </c>
      <c r="P163" s="6">
        <v>18</v>
      </c>
      <c r="Q163" s="4" t="s">
        <v>26</v>
      </c>
      <c r="R163" s="4">
        <v>0</v>
      </c>
      <c r="S163" s="6">
        <v>0</v>
      </c>
      <c r="T163" s="6">
        <v>33</v>
      </c>
      <c r="U163" s="6">
        <v>52</v>
      </c>
      <c r="V163" s="6">
        <f>IF(ISERROR(VLOOKUP($S$163,'TAR FIN'!$A$1:$O$73,15,0)),0,VLOOKUP($S$163,'TAR FIN'!$A$1:$O$73,15,0))</f>
        <v>0</v>
      </c>
      <c r="W163" s="6">
        <f>IF(ISERROR(VLOOKUP($T$163,'TAR FIN'!$A$1:$O$73,15,0)),0,VLOOKUP($T$163,'TAR FIN'!$A$1:$O$73,15,0))</f>
        <v>211.67</v>
      </c>
      <c r="X163" s="6">
        <f>IF(ISERROR(VLOOKUP($U$163,'TAR FIN'!$A$1:$O$73,15,0)),0,VLOOKUP($U$163,'TAR FIN'!$A$1:$O$73,15,0))</f>
        <v>136.44999999999999</v>
      </c>
      <c r="Y163" s="6"/>
      <c r="Z163" s="6">
        <f ca="1">('TUSD BE'!$AM$50+'TUSD BF'!$AM$50+'TUSD CVA'!$AM$50)*1</f>
        <v>267.35040304922677</v>
      </c>
      <c r="AA163" s="6">
        <f>('TE BE'!$AB$40+'TE BF'!$AB$40+'TE CVA'!$AB$40)*1</f>
        <v>105.65538258833574</v>
      </c>
      <c r="AB163" s="6">
        <f>$K$163*$V$163</f>
        <v>0</v>
      </c>
      <c r="AC163" s="6">
        <f>$M$163*$W$163</f>
        <v>3918.4350399999998</v>
      </c>
      <c r="AD163" s="6">
        <f>$O$163*$X$163</f>
        <v>2525.9623999999999</v>
      </c>
      <c r="AE163" s="6">
        <f>$K$163*$Y$163</f>
        <v>0</v>
      </c>
      <c r="AF163" s="6">
        <f ca="1">$M$163*$Z$163</f>
        <v>4949.1906612472858</v>
      </c>
      <c r="AG163" s="6">
        <f>$O$163*$AA$163</f>
        <v>1955.8924424752713</v>
      </c>
    </row>
    <row r="164" spans="1:33" ht="11.25" customHeight="1" x14ac:dyDescent="0.25">
      <c r="A164" s="4" t="s">
        <v>21</v>
      </c>
      <c r="B164" s="4" t="s">
        <v>34</v>
      </c>
      <c r="C164" s="4" t="s">
        <v>23</v>
      </c>
      <c r="D164" s="4" t="s">
        <v>35</v>
      </c>
      <c r="E164" s="4" t="s">
        <v>36</v>
      </c>
      <c r="F164" s="4" t="s">
        <v>25</v>
      </c>
      <c r="G164" s="4" t="s">
        <v>25</v>
      </c>
      <c r="H164" s="4" t="s">
        <v>25</v>
      </c>
      <c r="I164" s="5">
        <v>44531</v>
      </c>
      <c r="J164" s="6">
        <v>0</v>
      </c>
      <c r="K164" s="6">
        <v>0</v>
      </c>
      <c r="L164" s="6">
        <v>19.411000000000001</v>
      </c>
      <c r="M164" s="6">
        <v>19.411000000000001</v>
      </c>
      <c r="N164" s="6">
        <v>19.411000000000001</v>
      </c>
      <c r="O164" s="6">
        <v>19.411000000000001</v>
      </c>
      <c r="P164" s="6">
        <v>18</v>
      </c>
      <c r="Q164" s="4" t="s">
        <v>26</v>
      </c>
      <c r="R164" s="4">
        <v>0</v>
      </c>
      <c r="S164" s="6">
        <v>0</v>
      </c>
      <c r="T164" s="6">
        <v>33</v>
      </c>
      <c r="U164" s="6">
        <v>52</v>
      </c>
      <c r="V164" s="6">
        <f>IF(ISERROR(VLOOKUP($S$164,'TAR FIN'!$A$1:$O$73,15,0)),0,VLOOKUP($S$164,'TAR FIN'!$A$1:$O$73,15,0))</f>
        <v>0</v>
      </c>
      <c r="W164" s="6">
        <f>IF(ISERROR(VLOOKUP($T$164,'TAR FIN'!$A$1:$O$73,15,0)),0,VLOOKUP($T$164,'TAR FIN'!$A$1:$O$73,15,0))</f>
        <v>211.67</v>
      </c>
      <c r="X164" s="6">
        <f>IF(ISERROR(VLOOKUP($U$164,'TAR FIN'!$A$1:$O$73,15,0)),0,VLOOKUP($U$164,'TAR FIN'!$A$1:$O$73,15,0))</f>
        <v>136.44999999999999</v>
      </c>
      <c r="Y164" s="6"/>
      <c r="Z164" s="6">
        <f ca="1">('TUSD BE'!$AM$50+'TUSD BF'!$AM$50+'TUSD CVA'!$AM$50)*1</f>
        <v>267.35040304922677</v>
      </c>
      <c r="AA164" s="6">
        <f>('TE BE'!$AB$40+'TE BF'!$AB$40+'TE CVA'!$AB$40)*1</f>
        <v>105.65538258833574</v>
      </c>
      <c r="AB164" s="6">
        <f>$K$164*$V$164</f>
        <v>0</v>
      </c>
      <c r="AC164" s="6">
        <f>$M$164*$W$164</f>
        <v>4108.7263700000003</v>
      </c>
      <c r="AD164" s="6">
        <f>$O$164*$X$164</f>
        <v>2648.6309499999998</v>
      </c>
      <c r="AE164" s="6">
        <f>$K$164*$Y$164</f>
        <v>0</v>
      </c>
      <c r="AF164" s="6">
        <f ca="1">$M$164*$Z$164</f>
        <v>5189.5386735885413</v>
      </c>
      <c r="AG164" s="6">
        <f>$O$164*$AA$164</f>
        <v>2050.8766314221853</v>
      </c>
    </row>
    <row r="165" spans="1:33" ht="11.25" customHeight="1" x14ac:dyDescent="0.25">
      <c r="A165" s="4" t="s">
        <v>21</v>
      </c>
      <c r="B165" s="4" t="s">
        <v>34</v>
      </c>
      <c r="C165" s="4" t="s">
        <v>23</v>
      </c>
      <c r="D165" s="4" t="s">
        <v>35</v>
      </c>
      <c r="E165" s="4" t="s">
        <v>36</v>
      </c>
      <c r="F165" s="4" t="s">
        <v>25</v>
      </c>
      <c r="G165" s="4" t="s">
        <v>25</v>
      </c>
      <c r="H165" s="4" t="s">
        <v>25</v>
      </c>
      <c r="I165" s="5">
        <v>44562</v>
      </c>
      <c r="J165" s="6">
        <v>0</v>
      </c>
      <c r="K165" s="6">
        <v>0</v>
      </c>
      <c r="L165" s="6">
        <v>19.318999999999999</v>
      </c>
      <c r="M165" s="6">
        <v>19.318999999999999</v>
      </c>
      <c r="N165" s="6">
        <v>19.318999999999999</v>
      </c>
      <c r="O165" s="6">
        <v>19.318999999999999</v>
      </c>
      <c r="P165" s="6">
        <v>19</v>
      </c>
      <c r="Q165" s="4" t="s">
        <v>26</v>
      </c>
      <c r="R165" s="4">
        <v>0</v>
      </c>
      <c r="S165" s="6">
        <v>0</v>
      </c>
      <c r="T165" s="6">
        <v>33</v>
      </c>
      <c r="U165" s="6">
        <v>52</v>
      </c>
      <c r="V165" s="6">
        <f>IF(ISERROR(VLOOKUP($S$165,'TAR FIN'!$A$1:$O$73,15,0)),0,VLOOKUP($S$165,'TAR FIN'!$A$1:$O$73,15,0))</f>
        <v>0</v>
      </c>
      <c r="W165" s="6">
        <f>IF(ISERROR(VLOOKUP($T$165,'TAR FIN'!$A$1:$O$73,15,0)),0,VLOOKUP($T$165,'TAR FIN'!$A$1:$O$73,15,0))</f>
        <v>211.67</v>
      </c>
      <c r="X165" s="6">
        <f>IF(ISERROR(VLOOKUP($U$165,'TAR FIN'!$A$1:$O$73,15,0)),0,VLOOKUP($U$165,'TAR FIN'!$A$1:$O$73,15,0))</f>
        <v>136.44999999999999</v>
      </c>
      <c r="Y165" s="6"/>
      <c r="Z165" s="6">
        <f ca="1">('TUSD BE'!$AM$50+'TUSD BF'!$AM$50+'TUSD CVA'!$AM$50)*1</f>
        <v>267.35040304922677</v>
      </c>
      <c r="AA165" s="6">
        <f>('TE BE'!$AB$40+'TE BF'!$AB$40+'TE CVA'!$AB$40)*1</f>
        <v>105.65538258833574</v>
      </c>
      <c r="AB165" s="6">
        <f>$K$165*$V$165</f>
        <v>0</v>
      </c>
      <c r="AC165" s="6">
        <f>$M$165*$W$165</f>
        <v>4089.2527299999997</v>
      </c>
      <c r="AD165" s="6">
        <f>$O$165*$X$165</f>
        <v>2636.0775499999995</v>
      </c>
      <c r="AE165" s="6">
        <f>$K$165*$Y$165</f>
        <v>0</v>
      </c>
      <c r="AF165" s="6">
        <f ca="1">$M$165*$Z$165</f>
        <v>5164.9424365080113</v>
      </c>
      <c r="AG165" s="6">
        <f>$O$165*$AA$165</f>
        <v>2041.1563362240581</v>
      </c>
    </row>
    <row r="166" spans="1:33" ht="11.25" customHeight="1" x14ac:dyDescent="0.25">
      <c r="A166" s="4" t="s">
        <v>21</v>
      </c>
      <c r="B166" s="4" t="s">
        <v>34</v>
      </c>
      <c r="C166" s="4" t="s">
        <v>23</v>
      </c>
      <c r="D166" s="4" t="s">
        <v>35</v>
      </c>
      <c r="E166" s="4" t="s">
        <v>36</v>
      </c>
      <c r="F166" s="4" t="s">
        <v>25</v>
      </c>
      <c r="G166" s="4" t="s">
        <v>25</v>
      </c>
      <c r="H166" s="4" t="s">
        <v>25</v>
      </c>
      <c r="I166" s="5">
        <v>44593</v>
      </c>
      <c r="J166" s="6">
        <v>0</v>
      </c>
      <c r="K166" s="6">
        <v>0</v>
      </c>
      <c r="L166" s="6">
        <v>18.029</v>
      </c>
      <c r="M166" s="6">
        <v>18.029</v>
      </c>
      <c r="N166" s="6">
        <v>18.029</v>
      </c>
      <c r="O166" s="6">
        <v>18.029</v>
      </c>
      <c r="P166" s="6">
        <v>19</v>
      </c>
      <c r="Q166" s="4" t="s">
        <v>26</v>
      </c>
      <c r="R166" s="4">
        <v>0</v>
      </c>
      <c r="S166" s="6">
        <v>0</v>
      </c>
      <c r="T166" s="6">
        <v>33</v>
      </c>
      <c r="U166" s="6">
        <v>52</v>
      </c>
      <c r="V166" s="6">
        <f>IF(ISERROR(VLOOKUP($S$166,'TAR FIN'!$A$1:$O$73,15,0)),0,VLOOKUP($S$166,'TAR FIN'!$A$1:$O$73,15,0))</f>
        <v>0</v>
      </c>
      <c r="W166" s="6">
        <f>IF(ISERROR(VLOOKUP($T$166,'TAR FIN'!$A$1:$O$73,15,0)),0,VLOOKUP($T$166,'TAR FIN'!$A$1:$O$73,15,0))</f>
        <v>211.67</v>
      </c>
      <c r="X166" s="6">
        <f>IF(ISERROR(VLOOKUP($U$166,'TAR FIN'!$A$1:$O$73,15,0)),0,VLOOKUP($U$166,'TAR FIN'!$A$1:$O$73,15,0))</f>
        <v>136.44999999999999</v>
      </c>
      <c r="Y166" s="6"/>
      <c r="Z166" s="6">
        <f ca="1">('TUSD BE'!$AM$50+'TUSD BF'!$AM$50+'TUSD CVA'!$AM$50)*1</f>
        <v>267.35040304922677</v>
      </c>
      <c r="AA166" s="6">
        <f>('TE BE'!$AB$40+'TE BF'!$AB$40+'TE CVA'!$AB$40)*1</f>
        <v>105.65538258833574</v>
      </c>
      <c r="AB166" s="6">
        <f>$K$166*$V$166</f>
        <v>0</v>
      </c>
      <c r="AC166" s="6">
        <f>$M$166*$W$166</f>
        <v>3816.1984299999999</v>
      </c>
      <c r="AD166" s="6">
        <f>$O$166*$X$166</f>
        <v>2460.0570499999999</v>
      </c>
      <c r="AE166" s="6">
        <f>$K$166*$Y$166</f>
        <v>0</v>
      </c>
      <c r="AF166" s="6">
        <f ca="1">$M$166*$Z$166</f>
        <v>4820.0604165745099</v>
      </c>
      <c r="AG166" s="6">
        <f>$O$166*$AA$166</f>
        <v>1904.860892685105</v>
      </c>
    </row>
    <row r="167" spans="1:33" ht="11.25" customHeight="1" x14ac:dyDescent="0.25">
      <c r="A167" s="4" t="s">
        <v>21</v>
      </c>
      <c r="B167" s="4" t="s">
        <v>34</v>
      </c>
      <c r="C167" s="4" t="s">
        <v>23</v>
      </c>
      <c r="D167" s="4" t="s">
        <v>35</v>
      </c>
      <c r="E167" s="4" t="s">
        <v>36</v>
      </c>
      <c r="F167" s="4" t="s">
        <v>25</v>
      </c>
      <c r="G167" s="4" t="s">
        <v>25</v>
      </c>
      <c r="H167" s="4" t="s">
        <v>25</v>
      </c>
      <c r="I167" s="5">
        <v>44621</v>
      </c>
      <c r="J167" s="6">
        <v>0</v>
      </c>
      <c r="K167" s="6">
        <v>0</v>
      </c>
      <c r="L167" s="6">
        <v>19.922999999999998</v>
      </c>
      <c r="M167" s="6">
        <v>19.922999999999998</v>
      </c>
      <c r="N167" s="6">
        <v>19.922999999999998</v>
      </c>
      <c r="O167" s="6">
        <v>19.922999999999998</v>
      </c>
      <c r="P167" s="6">
        <v>19</v>
      </c>
      <c r="Q167" s="4" t="s">
        <v>26</v>
      </c>
      <c r="R167" s="4">
        <v>0</v>
      </c>
      <c r="S167" s="6">
        <v>0</v>
      </c>
      <c r="T167" s="6">
        <v>33</v>
      </c>
      <c r="U167" s="6">
        <v>52</v>
      </c>
      <c r="V167" s="6">
        <f>IF(ISERROR(VLOOKUP($S$167,'TAR FIN'!$A$1:$O$73,15,0)),0,VLOOKUP($S$167,'TAR FIN'!$A$1:$O$73,15,0))</f>
        <v>0</v>
      </c>
      <c r="W167" s="6">
        <f>IF(ISERROR(VLOOKUP($T$167,'TAR FIN'!$A$1:$O$73,15,0)),0,VLOOKUP($T$167,'TAR FIN'!$A$1:$O$73,15,0))</f>
        <v>211.67</v>
      </c>
      <c r="X167" s="6">
        <f>IF(ISERROR(VLOOKUP($U$167,'TAR FIN'!$A$1:$O$73,15,0)),0,VLOOKUP($U$167,'TAR FIN'!$A$1:$O$73,15,0))</f>
        <v>136.44999999999999</v>
      </c>
      <c r="Y167" s="6"/>
      <c r="Z167" s="6">
        <f ca="1">('TUSD BE'!$AM$50+'TUSD BF'!$AM$50+'TUSD CVA'!$AM$50)*1</f>
        <v>267.35040304922677</v>
      </c>
      <c r="AA167" s="6">
        <f>('TE BE'!$AB$40+'TE BF'!$AB$40+'TE CVA'!$AB$40)*1</f>
        <v>105.65538258833574</v>
      </c>
      <c r="AB167" s="6">
        <f>$K$167*$V$167</f>
        <v>0</v>
      </c>
      <c r="AC167" s="6">
        <f>$M$167*$W$167</f>
        <v>4217.1014099999993</v>
      </c>
      <c r="AD167" s="6">
        <f>$O$167*$X$167</f>
        <v>2718.4933499999997</v>
      </c>
      <c r="AE167" s="6">
        <f>$K$167*$Y$167</f>
        <v>0</v>
      </c>
      <c r="AF167" s="6">
        <f ca="1">$M$167*$Z$167</f>
        <v>5326.4220799497443</v>
      </c>
      <c r="AG167" s="6">
        <f>$O$167*$AA$167</f>
        <v>2104.9721873074127</v>
      </c>
    </row>
    <row r="168" spans="1:33" ht="11.25" customHeight="1" x14ac:dyDescent="0.25">
      <c r="A168" s="4" t="s">
        <v>21</v>
      </c>
      <c r="B168" s="4" t="s">
        <v>34</v>
      </c>
      <c r="C168" s="4" t="s">
        <v>23</v>
      </c>
      <c r="D168" s="4" t="s">
        <v>35</v>
      </c>
      <c r="E168" s="4" t="s">
        <v>36</v>
      </c>
      <c r="F168" s="4" t="s">
        <v>25</v>
      </c>
      <c r="G168" s="4" t="s">
        <v>25</v>
      </c>
      <c r="H168" s="4" t="s">
        <v>25</v>
      </c>
      <c r="I168" s="5">
        <v>44652</v>
      </c>
      <c r="J168" s="6">
        <v>0</v>
      </c>
      <c r="K168" s="6">
        <v>0</v>
      </c>
      <c r="L168" s="6">
        <v>23.013000000000002</v>
      </c>
      <c r="M168" s="6">
        <v>23.013000000000002</v>
      </c>
      <c r="N168" s="6">
        <v>23.013000000000002</v>
      </c>
      <c r="O168" s="6">
        <v>23.013000000000002</v>
      </c>
      <c r="P168" s="6">
        <v>19</v>
      </c>
      <c r="Q168" s="4" t="s">
        <v>26</v>
      </c>
      <c r="R168" s="4">
        <v>0</v>
      </c>
      <c r="S168" s="6">
        <v>0</v>
      </c>
      <c r="T168" s="6">
        <v>33</v>
      </c>
      <c r="U168" s="6">
        <v>52</v>
      </c>
      <c r="V168" s="6">
        <f>IF(ISERROR(VLOOKUP($S$168,'TAR FIN'!$A$1:$O$73,15,0)),0,VLOOKUP($S$168,'TAR FIN'!$A$1:$O$73,15,0))</f>
        <v>0</v>
      </c>
      <c r="W168" s="6">
        <f>IF(ISERROR(VLOOKUP($T$168,'TAR FIN'!$A$1:$O$73,15,0)),0,VLOOKUP($T$168,'TAR FIN'!$A$1:$O$73,15,0))</f>
        <v>211.67</v>
      </c>
      <c r="X168" s="6">
        <f>IF(ISERROR(VLOOKUP($U$168,'TAR FIN'!$A$1:$O$73,15,0)),0,VLOOKUP($U$168,'TAR FIN'!$A$1:$O$73,15,0))</f>
        <v>136.44999999999999</v>
      </c>
      <c r="Y168" s="6"/>
      <c r="Z168" s="6">
        <f ca="1">('TUSD BE'!$AM$50+'TUSD BF'!$AM$50+'TUSD CVA'!$AM$50)*1</f>
        <v>267.35040304922677</v>
      </c>
      <c r="AA168" s="6">
        <f>('TE BE'!$AB$40+'TE BF'!$AB$40+'TE CVA'!$AB$40)*1</f>
        <v>105.65538258833574</v>
      </c>
      <c r="AB168" s="6">
        <f>$K$168*$V$168</f>
        <v>0</v>
      </c>
      <c r="AC168" s="6">
        <f>$M$168*$W$168</f>
        <v>4871.1617100000003</v>
      </c>
      <c r="AD168" s="6">
        <f>$O$168*$X$168</f>
        <v>3140.1238499999999</v>
      </c>
      <c r="AE168" s="6">
        <f>$K$168*$Y$168</f>
        <v>0</v>
      </c>
      <c r="AF168" s="6">
        <f ca="1">$M$168*$Z$168</f>
        <v>6152.5348253718557</v>
      </c>
      <c r="AG168" s="6">
        <f>$O$168*$AA$168</f>
        <v>2431.4473195053706</v>
      </c>
    </row>
    <row r="169" spans="1:33" ht="11.25" customHeight="1" x14ac:dyDescent="0.25">
      <c r="A169" s="4" t="s">
        <v>21</v>
      </c>
      <c r="B169" s="4" t="s">
        <v>34</v>
      </c>
      <c r="C169" s="4" t="s">
        <v>23</v>
      </c>
      <c r="D169" s="4" t="s">
        <v>35</v>
      </c>
      <c r="E169" s="4" t="s">
        <v>36</v>
      </c>
      <c r="F169" s="4" t="s">
        <v>25</v>
      </c>
      <c r="G169" s="4" t="s">
        <v>25</v>
      </c>
      <c r="H169" s="4" t="s">
        <v>25</v>
      </c>
      <c r="I169" s="5">
        <v>44682</v>
      </c>
      <c r="J169" s="6">
        <v>0</v>
      </c>
      <c r="K169" s="6">
        <v>0</v>
      </c>
      <c r="L169" s="6">
        <v>23.071000000000002</v>
      </c>
      <c r="M169" s="6">
        <v>23.071000000000002</v>
      </c>
      <c r="N169" s="6">
        <v>23.071000000000002</v>
      </c>
      <c r="O169" s="6">
        <v>23.071000000000002</v>
      </c>
      <c r="P169" s="6">
        <v>19</v>
      </c>
      <c r="Q169" s="4" t="s">
        <v>26</v>
      </c>
      <c r="R169" s="4">
        <v>0</v>
      </c>
      <c r="S169" s="6">
        <v>0</v>
      </c>
      <c r="T169" s="6">
        <v>33</v>
      </c>
      <c r="U169" s="6">
        <v>52</v>
      </c>
      <c r="V169" s="6">
        <f>IF(ISERROR(VLOOKUP($S$169,'TAR FIN'!$A$1:$O$73,15,0)),0,VLOOKUP($S$169,'TAR FIN'!$A$1:$O$73,15,0))</f>
        <v>0</v>
      </c>
      <c r="W169" s="6">
        <f>IF(ISERROR(VLOOKUP($T$169,'TAR FIN'!$A$1:$O$73,15,0)),0,VLOOKUP($T$169,'TAR FIN'!$A$1:$O$73,15,0))</f>
        <v>211.67</v>
      </c>
      <c r="X169" s="6">
        <f>IF(ISERROR(VLOOKUP($U$169,'TAR FIN'!$A$1:$O$73,15,0)),0,VLOOKUP($U$169,'TAR FIN'!$A$1:$O$73,15,0))</f>
        <v>136.44999999999999</v>
      </c>
      <c r="Y169" s="6"/>
      <c r="Z169" s="6">
        <f ca="1">('TUSD BE'!$AM$50+'TUSD BF'!$AM$50+'TUSD CVA'!$AM$50)*1</f>
        <v>267.35040304922677</v>
      </c>
      <c r="AA169" s="6">
        <f>('TE BE'!$AB$40+'TE BF'!$AB$40+'TE CVA'!$AB$40)*1</f>
        <v>105.65538258833574</v>
      </c>
      <c r="AB169" s="6">
        <f>$K$169*$V$169</f>
        <v>0</v>
      </c>
      <c r="AC169" s="6">
        <f>$M$169*$W$169</f>
        <v>4883.4385700000003</v>
      </c>
      <c r="AD169" s="6">
        <f>$O$169*$X$169</f>
        <v>3148.0379499999999</v>
      </c>
      <c r="AE169" s="6">
        <f>$K$169*$Y$169</f>
        <v>0</v>
      </c>
      <c r="AF169" s="6">
        <f ca="1">$M$169*$Z$169</f>
        <v>6168.0411487487108</v>
      </c>
      <c r="AG169" s="6">
        <f>$O$169*$AA$169</f>
        <v>2437.5753316954942</v>
      </c>
    </row>
    <row r="170" spans="1:33" ht="11.25" customHeight="1" x14ac:dyDescent="0.25">
      <c r="A170" s="4" t="s">
        <v>21</v>
      </c>
      <c r="B170" s="4" t="s">
        <v>34</v>
      </c>
      <c r="C170" s="4" t="s">
        <v>23</v>
      </c>
      <c r="D170" s="4" t="s">
        <v>35</v>
      </c>
      <c r="E170" s="4" t="s">
        <v>36</v>
      </c>
      <c r="F170" s="4" t="s">
        <v>25</v>
      </c>
      <c r="G170" s="4" t="s">
        <v>25</v>
      </c>
      <c r="H170" s="4" t="s">
        <v>25</v>
      </c>
      <c r="I170" s="5">
        <v>44713</v>
      </c>
      <c r="J170" s="6">
        <v>0</v>
      </c>
      <c r="K170" s="6">
        <v>0</v>
      </c>
      <c r="L170" s="6">
        <v>28.919</v>
      </c>
      <c r="M170" s="6">
        <v>28.919</v>
      </c>
      <c r="N170" s="6">
        <v>28.919</v>
      </c>
      <c r="O170" s="6">
        <v>28.919</v>
      </c>
      <c r="P170" s="6">
        <v>19</v>
      </c>
      <c r="Q170" s="4" t="s">
        <v>26</v>
      </c>
      <c r="R170" s="4">
        <v>0</v>
      </c>
      <c r="S170" s="6">
        <v>0</v>
      </c>
      <c r="T170" s="6">
        <v>33</v>
      </c>
      <c r="U170" s="6">
        <v>52</v>
      </c>
      <c r="V170" s="6">
        <f>IF(ISERROR(VLOOKUP($S$170,'TAR FIN'!$A$1:$O$73,15,0)),0,VLOOKUP($S$170,'TAR FIN'!$A$1:$O$73,15,0))</f>
        <v>0</v>
      </c>
      <c r="W170" s="6">
        <f>IF(ISERROR(VLOOKUP($T$170,'TAR FIN'!$A$1:$O$73,15,0)),0,VLOOKUP($T$170,'TAR FIN'!$A$1:$O$73,15,0))</f>
        <v>211.67</v>
      </c>
      <c r="X170" s="6">
        <f>IF(ISERROR(VLOOKUP($U$170,'TAR FIN'!$A$1:$O$73,15,0)),0,VLOOKUP($U$170,'TAR FIN'!$A$1:$O$73,15,0))</f>
        <v>136.44999999999999</v>
      </c>
      <c r="Y170" s="6"/>
      <c r="Z170" s="6">
        <f ca="1">('TUSD BE'!$AM$50+'TUSD BF'!$AM$50+'TUSD CVA'!$AM$50)*1</f>
        <v>267.35040304922677</v>
      </c>
      <c r="AA170" s="6">
        <f>('TE BE'!$AB$40+'TE BF'!$AB$40+'TE CVA'!$AB$40)*1</f>
        <v>105.65538258833574</v>
      </c>
      <c r="AB170" s="6">
        <f>$K$170*$V$170</f>
        <v>0</v>
      </c>
      <c r="AC170" s="6">
        <f>$M$170*$W$170</f>
        <v>6121.2847299999994</v>
      </c>
      <c r="AD170" s="6">
        <f>$O$170*$X$170</f>
        <v>3945.9975499999996</v>
      </c>
      <c r="AE170" s="6">
        <f>$K$170*$Y$170</f>
        <v>0</v>
      </c>
      <c r="AF170" s="6">
        <f ca="1">$M$170*$Z$170</f>
        <v>7731.5063057805892</v>
      </c>
      <c r="AG170" s="6">
        <f>$O$170*$AA$170</f>
        <v>3055.4480090720813</v>
      </c>
    </row>
    <row r="171" spans="1:33" ht="11.25" customHeight="1" x14ac:dyDescent="0.25">
      <c r="A171" s="4" t="s">
        <v>21</v>
      </c>
      <c r="B171" s="4" t="s">
        <v>34</v>
      </c>
      <c r="C171" s="4" t="s">
        <v>23</v>
      </c>
      <c r="D171" s="4" t="s">
        <v>35</v>
      </c>
      <c r="E171" s="4" t="s">
        <v>36</v>
      </c>
      <c r="F171" s="4" t="s">
        <v>25</v>
      </c>
      <c r="G171" s="4" t="s">
        <v>25</v>
      </c>
      <c r="H171" s="4" t="s">
        <v>25</v>
      </c>
      <c r="I171" s="5">
        <v>44743</v>
      </c>
      <c r="J171" s="6">
        <v>0</v>
      </c>
      <c r="K171" s="6">
        <v>0</v>
      </c>
      <c r="L171" s="6">
        <v>27.431999999999999</v>
      </c>
      <c r="M171" s="6">
        <v>27.431999999999999</v>
      </c>
      <c r="N171" s="6">
        <v>27.431999999999999</v>
      </c>
      <c r="O171" s="6">
        <v>27.431999999999999</v>
      </c>
      <c r="P171" s="6">
        <v>19</v>
      </c>
      <c r="Q171" s="4" t="s">
        <v>26</v>
      </c>
      <c r="R171" s="4">
        <v>0</v>
      </c>
      <c r="S171" s="6">
        <v>0</v>
      </c>
      <c r="T171" s="6">
        <v>33</v>
      </c>
      <c r="U171" s="6">
        <v>52</v>
      </c>
      <c r="V171" s="6">
        <f>IF(ISERROR(VLOOKUP($S$171,'TAR FIN'!$A$1:$O$73,15,0)),0,VLOOKUP($S$171,'TAR FIN'!$A$1:$O$73,15,0))</f>
        <v>0</v>
      </c>
      <c r="W171" s="6">
        <f>IF(ISERROR(VLOOKUP($T$171,'TAR FIN'!$A$1:$O$73,15,0)),0,VLOOKUP($T$171,'TAR FIN'!$A$1:$O$73,15,0))</f>
        <v>211.67</v>
      </c>
      <c r="X171" s="6">
        <f>IF(ISERROR(VLOOKUP($U$171,'TAR FIN'!$A$1:$O$73,15,0)),0,VLOOKUP($U$171,'TAR FIN'!$A$1:$O$73,15,0))</f>
        <v>136.44999999999999</v>
      </c>
      <c r="Y171" s="6"/>
      <c r="Z171" s="6">
        <f ca="1">('TUSD BE'!$AM$50+'TUSD BF'!$AM$50+'TUSD CVA'!$AM$50)*1</f>
        <v>267.35040304922677</v>
      </c>
      <c r="AA171" s="6">
        <f>('TE BE'!$AB$40+'TE BF'!$AB$40+'TE CVA'!$AB$40)*1</f>
        <v>105.65538258833574</v>
      </c>
      <c r="AB171" s="6">
        <f>$K$171*$V$171</f>
        <v>0</v>
      </c>
      <c r="AC171" s="6">
        <f>$M$171*$W$171</f>
        <v>5806.5314399999997</v>
      </c>
      <c r="AD171" s="6">
        <f>$O$171*$X$171</f>
        <v>3743.0963999999994</v>
      </c>
      <c r="AE171" s="6">
        <f>$K$171*$Y$171</f>
        <v>0</v>
      </c>
      <c r="AF171" s="6">
        <f ca="1">$M$171*$Z$171</f>
        <v>7333.9562564463886</v>
      </c>
      <c r="AG171" s="6">
        <f>$O$171*$AA$171</f>
        <v>2898.3384551632257</v>
      </c>
    </row>
    <row r="172" spans="1:33" ht="11.25" customHeight="1" x14ac:dyDescent="0.25">
      <c r="A172" s="4" t="s">
        <v>21</v>
      </c>
      <c r="B172" s="4" t="s">
        <v>34</v>
      </c>
      <c r="C172" s="4" t="s">
        <v>23</v>
      </c>
      <c r="D172" s="4" t="s">
        <v>35</v>
      </c>
      <c r="E172" s="4" t="s">
        <v>36</v>
      </c>
      <c r="F172" s="4" t="s">
        <v>25</v>
      </c>
      <c r="G172" s="4" t="s">
        <v>25</v>
      </c>
      <c r="H172" s="4" t="s">
        <v>25</v>
      </c>
      <c r="I172" s="5">
        <v>44774</v>
      </c>
      <c r="J172" s="6">
        <v>0</v>
      </c>
      <c r="K172" s="6">
        <v>0</v>
      </c>
      <c r="L172" s="6">
        <v>27.561</v>
      </c>
      <c r="M172" s="6">
        <v>27.561</v>
      </c>
      <c r="N172" s="6">
        <v>27.561</v>
      </c>
      <c r="O172" s="6">
        <v>27.561</v>
      </c>
      <c r="P172" s="6">
        <v>19</v>
      </c>
      <c r="Q172" s="4" t="s">
        <v>26</v>
      </c>
      <c r="R172" s="4">
        <v>0</v>
      </c>
      <c r="S172" s="6">
        <v>0</v>
      </c>
      <c r="T172" s="6">
        <v>33</v>
      </c>
      <c r="U172" s="6">
        <v>52</v>
      </c>
      <c r="V172" s="6">
        <f>IF(ISERROR(VLOOKUP($S$172,'TAR FIN'!$A$1:$O$73,15,0)),0,VLOOKUP($S$172,'TAR FIN'!$A$1:$O$73,15,0))</f>
        <v>0</v>
      </c>
      <c r="W172" s="6">
        <f>IF(ISERROR(VLOOKUP($T$172,'TAR FIN'!$A$1:$O$73,15,0)),0,VLOOKUP($T$172,'TAR FIN'!$A$1:$O$73,15,0))</f>
        <v>211.67</v>
      </c>
      <c r="X172" s="6">
        <f>IF(ISERROR(VLOOKUP($U$172,'TAR FIN'!$A$1:$O$73,15,0)),0,VLOOKUP($U$172,'TAR FIN'!$A$1:$O$73,15,0))</f>
        <v>136.44999999999999</v>
      </c>
      <c r="Y172" s="6"/>
      <c r="Z172" s="6">
        <f ca="1">('TUSD BE'!$AM$50+'TUSD BF'!$AM$50+'TUSD CVA'!$AM$50)*1</f>
        <v>267.35040304922677</v>
      </c>
      <c r="AA172" s="6">
        <f>('TE BE'!$AB$40+'TE BF'!$AB$40+'TE CVA'!$AB$40)*1</f>
        <v>105.65538258833574</v>
      </c>
      <c r="AB172" s="6">
        <f>$K$172*$V$172</f>
        <v>0</v>
      </c>
      <c r="AC172" s="6">
        <f>$M$172*$W$172</f>
        <v>5833.8368700000001</v>
      </c>
      <c r="AD172" s="6">
        <f>$O$172*$X$172</f>
        <v>3760.6984499999999</v>
      </c>
      <c r="AE172" s="6">
        <f>$K$172*$Y$172</f>
        <v>0</v>
      </c>
      <c r="AF172" s="6">
        <f ca="1">$M$172*$Z$172</f>
        <v>7368.4444584397388</v>
      </c>
      <c r="AG172" s="6">
        <f>$O$172*$AA$172</f>
        <v>2911.9679995171214</v>
      </c>
    </row>
    <row r="173" spans="1:33" ht="11.25" customHeight="1" x14ac:dyDescent="0.25">
      <c r="A173" s="4" t="s">
        <v>21</v>
      </c>
      <c r="B173" s="4" t="s">
        <v>34</v>
      </c>
      <c r="C173" s="4" t="s">
        <v>23</v>
      </c>
      <c r="D173" s="4" t="s">
        <v>35</v>
      </c>
      <c r="E173" s="4" t="s">
        <v>36</v>
      </c>
      <c r="F173" s="4" t="s">
        <v>25</v>
      </c>
      <c r="G173" s="4" t="s">
        <v>25</v>
      </c>
      <c r="H173" s="4" t="s">
        <v>25</v>
      </c>
      <c r="I173" s="5">
        <v>44805</v>
      </c>
      <c r="J173" s="6">
        <v>0</v>
      </c>
      <c r="K173" s="6">
        <v>0</v>
      </c>
      <c r="L173" s="6">
        <v>25.364000000000001</v>
      </c>
      <c r="M173" s="6">
        <v>25.364000000000001</v>
      </c>
      <c r="N173" s="6">
        <v>25.364000000000001</v>
      </c>
      <c r="O173" s="6">
        <v>25.364000000000001</v>
      </c>
      <c r="P173" s="6">
        <v>19</v>
      </c>
      <c r="Q173" s="4" t="s">
        <v>26</v>
      </c>
      <c r="R173" s="4">
        <v>0</v>
      </c>
      <c r="S173" s="6">
        <v>0</v>
      </c>
      <c r="T173" s="6">
        <v>33</v>
      </c>
      <c r="U173" s="6">
        <v>52</v>
      </c>
      <c r="V173" s="6">
        <f>IF(ISERROR(VLOOKUP($S$173,'TAR FIN'!$A$1:$O$73,15,0)),0,VLOOKUP($S$173,'TAR FIN'!$A$1:$O$73,15,0))</f>
        <v>0</v>
      </c>
      <c r="W173" s="6">
        <f>IF(ISERROR(VLOOKUP($T$173,'TAR FIN'!$A$1:$O$73,15,0)),0,VLOOKUP($T$173,'TAR FIN'!$A$1:$O$73,15,0))</f>
        <v>211.67</v>
      </c>
      <c r="X173" s="6">
        <f>IF(ISERROR(VLOOKUP($U$173,'TAR FIN'!$A$1:$O$73,15,0)),0,VLOOKUP($U$173,'TAR FIN'!$A$1:$O$73,15,0))</f>
        <v>136.44999999999999</v>
      </c>
      <c r="Y173" s="6"/>
      <c r="Z173" s="6">
        <f ca="1">('TUSD BE'!$AM$50+'TUSD BF'!$AM$50+'TUSD CVA'!$AM$50)*1</f>
        <v>267.35040304922677</v>
      </c>
      <c r="AA173" s="6">
        <f>('TE BE'!$AB$40+'TE BF'!$AB$40+'TE CVA'!$AB$40)*1</f>
        <v>105.65538258833574</v>
      </c>
      <c r="AB173" s="6">
        <f>$K$173*$V$173</f>
        <v>0</v>
      </c>
      <c r="AC173" s="6">
        <f>$M$173*$W$173</f>
        <v>5368.7978800000001</v>
      </c>
      <c r="AD173" s="6">
        <f>$O$173*$X$173</f>
        <v>3460.9177999999997</v>
      </c>
      <c r="AE173" s="6">
        <f>$K$173*$Y$173</f>
        <v>0</v>
      </c>
      <c r="AF173" s="6">
        <f ca="1">$M$173*$Z$173</f>
        <v>6781.0756229405879</v>
      </c>
      <c r="AG173" s="6">
        <f>$O$173*$AA$173</f>
        <v>2679.8431239705478</v>
      </c>
    </row>
    <row r="174" spans="1:33" ht="11.25" customHeight="1" x14ac:dyDescent="0.25">
      <c r="A174" s="4" t="s">
        <v>21</v>
      </c>
      <c r="B174" s="4" t="s">
        <v>34</v>
      </c>
      <c r="C174" s="4" t="s">
        <v>23</v>
      </c>
      <c r="D174" s="4" t="s">
        <v>35</v>
      </c>
      <c r="E174" s="4" t="s">
        <v>36</v>
      </c>
      <c r="F174" s="4" t="s">
        <v>25</v>
      </c>
      <c r="G174" s="4" t="s">
        <v>25</v>
      </c>
      <c r="H174" s="4" t="s">
        <v>25</v>
      </c>
      <c r="I174" s="5">
        <v>44835</v>
      </c>
      <c r="J174" s="6">
        <v>0</v>
      </c>
      <c r="K174" s="6">
        <v>0</v>
      </c>
      <c r="L174" s="6">
        <v>23.771000000000001</v>
      </c>
      <c r="M174" s="6">
        <v>23.771000000000001</v>
      </c>
      <c r="N174" s="6">
        <v>23.771000000000001</v>
      </c>
      <c r="O174" s="6">
        <v>23.771000000000001</v>
      </c>
      <c r="P174" s="6">
        <v>19</v>
      </c>
      <c r="Q174" s="4" t="s">
        <v>26</v>
      </c>
      <c r="R174" s="4">
        <v>0</v>
      </c>
      <c r="S174" s="6">
        <v>0</v>
      </c>
      <c r="T174" s="6">
        <v>33</v>
      </c>
      <c r="U174" s="6">
        <v>52</v>
      </c>
      <c r="V174" s="6">
        <f>IF(ISERROR(VLOOKUP($S$174,'TAR FIN'!$A$1:$O$73,15,0)),0,VLOOKUP($S$174,'TAR FIN'!$A$1:$O$73,15,0))</f>
        <v>0</v>
      </c>
      <c r="W174" s="6">
        <f>IF(ISERROR(VLOOKUP($T$174,'TAR FIN'!$A$1:$O$73,15,0)),0,VLOOKUP($T$174,'TAR FIN'!$A$1:$O$73,15,0))</f>
        <v>211.67</v>
      </c>
      <c r="X174" s="6">
        <f>IF(ISERROR(VLOOKUP($U$174,'TAR FIN'!$A$1:$O$73,15,0)),0,VLOOKUP($U$174,'TAR FIN'!$A$1:$O$73,15,0))</f>
        <v>136.44999999999999</v>
      </c>
      <c r="Y174" s="6"/>
      <c r="Z174" s="6">
        <f ca="1">('TUSD BE'!$AM$50+'TUSD BF'!$AM$50+'TUSD CVA'!$AM$50)*1</f>
        <v>267.35040304922677</v>
      </c>
      <c r="AA174" s="6">
        <f>('TE BE'!$AB$40+'TE BF'!$AB$40+'TE CVA'!$AB$40)*1</f>
        <v>105.65538258833574</v>
      </c>
      <c r="AB174" s="6">
        <f>$K$174*$V$174</f>
        <v>0</v>
      </c>
      <c r="AC174" s="6">
        <f>$M$174*$W$174</f>
        <v>5031.6075700000001</v>
      </c>
      <c r="AD174" s="6">
        <f>$O$174*$X$174</f>
        <v>3243.5529499999998</v>
      </c>
      <c r="AE174" s="6">
        <f>$K$174*$Y$174</f>
        <v>0</v>
      </c>
      <c r="AF174" s="6">
        <f ca="1">$M$174*$Z$174</f>
        <v>6355.18643088317</v>
      </c>
      <c r="AG174" s="6">
        <f>$O$174*$AA$174</f>
        <v>2511.5340995073288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ECF0-28B4-4E90-AFFE-E6FF7539AB16}">
  <sheetPr codeName="Planilha17"/>
  <dimension ref="A1:AJ175"/>
  <sheetViews>
    <sheetView showGridLines="0" topLeftCell="X1" workbookViewId="0">
      <selection activeCell="AJ12" sqref="AJ12"/>
    </sheetView>
  </sheetViews>
  <sheetFormatPr defaultColWidth="9.140625" defaultRowHeight="11.25" customHeight="1" x14ac:dyDescent="0.25"/>
  <cols>
    <col min="1" max="1" width="19.140625" style="4" bestFit="1" customWidth="1"/>
    <col min="2" max="2" width="13.28515625" style="4" bestFit="1" customWidth="1"/>
    <col min="3" max="3" width="14.5703125" style="4" bestFit="1" customWidth="1"/>
    <col min="4" max="4" width="11.5703125" style="4" bestFit="1" customWidth="1"/>
    <col min="5" max="5" width="25.140625" style="4" bestFit="1" customWidth="1"/>
    <col min="6" max="6" width="11.42578125" style="4" bestFit="1" customWidth="1"/>
    <col min="7" max="7" width="11.28515625" style="4" bestFit="1" customWidth="1"/>
    <col min="8" max="8" width="10.28515625" style="4" bestFit="1" customWidth="1"/>
    <col min="9" max="9" width="12.140625" style="5" bestFit="1" customWidth="1"/>
    <col min="10" max="10" width="6.5703125" style="6" bestFit="1" customWidth="1"/>
    <col min="11" max="11" width="7.85546875" style="6" bestFit="1" customWidth="1"/>
    <col min="12" max="12" width="11.28515625" style="6" bestFit="1" customWidth="1"/>
    <col min="13" max="13" width="12.5703125" style="6" bestFit="1" customWidth="1"/>
    <col min="14" max="14" width="9.140625" style="6" bestFit="1" customWidth="1"/>
    <col min="15" max="15" width="10.42578125" style="6" bestFit="1" customWidth="1"/>
    <col min="16" max="16" width="7.7109375" style="6" bestFit="1" customWidth="1"/>
    <col min="17" max="17" width="11.140625" style="4" bestFit="1" customWidth="1"/>
    <col min="18" max="18" width="13.140625" style="4" bestFit="1" customWidth="1"/>
    <col min="19" max="19" width="23" style="4" bestFit="1" customWidth="1"/>
    <col min="20" max="20" width="24.42578125" style="4" bestFit="1" customWidth="1"/>
    <col min="21" max="21" width="22.28515625" style="4" bestFit="1" customWidth="1"/>
    <col min="22" max="22" width="15.85546875" style="4" bestFit="1" customWidth="1"/>
    <col min="23" max="23" width="17.28515625" style="4" bestFit="1" customWidth="1"/>
    <col min="24" max="24" width="15.140625" style="4" bestFit="1" customWidth="1"/>
    <col min="25" max="25" width="20.85546875" style="4" bestFit="1" customWidth="1"/>
    <col min="26" max="26" width="22.42578125" style="4" bestFit="1" customWidth="1"/>
    <col min="27" max="27" width="20.140625" style="4" bestFit="1" customWidth="1"/>
    <col min="28" max="28" width="19.140625" style="4" bestFit="1" customWidth="1"/>
    <col min="29" max="29" width="20.5703125" style="4" bestFit="1" customWidth="1"/>
    <col min="30" max="30" width="19" style="4" bestFit="1" customWidth="1"/>
    <col min="31" max="31" width="20.42578125" style="4" bestFit="1" customWidth="1"/>
    <col min="32" max="32" width="32.140625" style="4" bestFit="1" customWidth="1"/>
    <col min="33" max="33" width="9.140625" style="4"/>
    <col min="34" max="34" width="32.140625" style="4" bestFit="1" customWidth="1"/>
    <col min="35" max="36" width="8.7109375" style="4" bestFit="1" customWidth="1"/>
    <col min="37" max="16384" width="9.140625" style="4"/>
  </cols>
  <sheetData>
    <row r="1" spans="1:36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416</v>
      </c>
      <c r="W1" s="1" t="s">
        <v>417</v>
      </c>
      <c r="X1" s="1" t="s">
        <v>418</v>
      </c>
      <c r="Y1" s="1" t="s">
        <v>419</v>
      </c>
      <c r="Z1" s="1" t="s">
        <v>420</v>
      </c>
      <c r="AA1" s="1" t="s">
        <v>421</v>
      </c>
      <c r="AB1" s="1" t="s">
        <v>459</v>
      </c>
      <c r="AC1" s="1" t="s">
        <v>460</v>
      </c>
      <c r="AD1" s="1" t="s">
        <v>461</v>
      </c>
      <c r="AE1" s="1" t="s">
        <v>462</v>
      </c>
      <c r="AF1" s="1" t="s">
        <v>463</v>
      </c>
      <c r="AH1" s="40" t="s">
        <v>463</v>
      </c>
      <c r="AI1" s="40" t="s">
        <v>467</v>
      </c>
      <c r="AJ1" s="40" t="s">
        <v>468</v>
      </c>
    </row>
    <row r="2" spans="1:36" ht="11.25" customHeight="1" x14ac:dyDescent="0.25">
      <c r="A2" s="4" t="s">
        <v>21</v>
      </c>
      <c r="B2" s="4" t="s">
        <v>22</v>
      </c>
      <c r="C2" s="4" t="s">
        <v>23</v>
      </c>
      <c r="D2" s="4" t="s">
        <v>24</v>
      </c>
      <c r="E2" s="4" t="s">
        <v>24</v>
      </c>
      <c r="F2" s="4" t="s">
        <v>25</v>
      </c>
      <c r="G2" s="4" t="s">
        <v>25</v>
      </c>
      <c r="H2" s="4" t="s">
        <v>25</v>
      </c>
      <c r="I2" s="5">
        <v>44501</v>
      </c>
      <c r="J2" s="6">
        <v>0</v>
      </c>
      <c r="K2" s="6">
        <v>0</v>
      </c>
      <c r="L2" s="6">
        <v>260.51100000000002</v>
      </c>
      <c r="M2" s="6">
        <v>260.51100000000002</v>
      </c>
      <c r="N2" s="6">
        <v>260.51100000000002</v>
      </c>
      <c r="O2" s="6">
        <v>260.51100000000002</v>
      </c>
      <c r="P2" s="6">
        <v>1839</v>
      </c>
      <c r="Q2" s="4" t="s">
        <v>26</v>
      </c>
      <c r="R2" s="4">
        <v>0</v>
      </c>
      <c r="S2" s="4">
        <v>0</v>
      </c>
      <c r="T2" s="4">
        <v>21</v>
      </c>
      <c r="U2" s="4">
        <v>28</v>
      </c>
      <c r="V2" s="6">
        <f>IF(ISERROR(VLOOKUP($S$2,'TAR FIN'!$A$1:$O$73,15,0)),0,VLOOKUP($S$2,'TAR FIN'!$A$1:$O$73,15,0))</f>
        <v>0</v>
      </c>
      <c r="W2" s="6">
        <f>IF(ISERROR(VLOOKUP($T$2,'TAR FIN'!$A$1:$O$73,15,0)),0,VLOOKUP($T$2,'TAR FIN'!$A$1:$O$73,15,0))</f>
        <v>384.85</v>
      </c>
      <c r="X2" s="6">
        <f>IF(ISERROR(VLOOKUP($U$2,'TAR FIN'!$A$1:$O$73,15,0)),0,VLOOKUP($U$2,'TAR FIN'!$A$1:$O$73,15,0))</f>
        <v>248.09</v>
      </c>
      <c r="Y2" s="6"/>
      <c r="Z2" s="6">
        <f ca="1">('TUSD BE'!$AM$20+'TUSD BF'!$AM$20+'TUSD CVA'!$AM$20)*1</f>
        <v>486.0916419076849</v>
      </c>
      <c r="AA2" s="6">
        <f>('TE BE'!$AB$10+'TE BF'!$AB$10+'TE CVA'!$AB$10)*1</f>
        <v>192.10069561515587</v>
      </c>
      <c r="AB2" s="6">
        <f t="shared" ref="AB2:AB33" si="0">(J2-K2)*V2</f>
        <v>0</v>
      </c>
      <c r="AC2" s="6">
        <f>(L2-M2)*W2+(N2-O2)*X2</f>
        <v>0</v>
      </c>
      <c r="AD2" s="6">
        <f t="shared" ref="AD2:AD33" si="1">(J2-K2)*Y2</f>
        <v>0</v>
      </c>
      <c r="AE2" s="6">
        <f ca="1">(L2-M2)*Z2+(N2-O2)*AA2</f>
        <v>0</v>
      </c>
      <c r="AH2" s="41" t="s">
        <v>469</v>
      </c>
      <c r="AI2" s="42">
        <f t="shared" ref="AI2:AI9" si="2">SUMIF($AF$2:$AF$175,AH2,$AB$2:$AB$175)+SUMIF($AF$2:$AF$175,AH2,$AC$2:$AC$175)</f>
        <v>0</v>
      </c>
      <c r="AJ2" s="42">
        <f t="shared" ref="AJ2:AJ9" si="3">SUMIF($AF$2:$AF$175,AH2,$AD$2:$AD$175)+SUMIF($AF$2:$AF$175,AH2,$AE$2:$AE$175)</f>
        <v>0</v>
      </c>
    </row>
    <row r="3" spans="1:36" ht="11.25" customHeight="1" x14ac:dyDescent="0.25">
      <c r="A3" s="4" t="s">
        <v>21</v>
      </c>
      <c r="B3" s="4" t="s">
        <v>22</v>
      </c>
      <c r="C3" s="4" t="s">
        <v>23</v>
      </c>
      <c r="D3" s="4" t="s">
        <v>24</v>
      </c>
      <c r="E3" s="4" t="s">
        <v>41</v>
      </c>
      <c r="F3" s="4" t="s">
        <v>25</v>
      </c>
      <c r="G3" s="4" t="s">
        <v>25</v>
      </c>
      <c r="H3" s="4" t="s">
        <v>25</v>
      </c>
      <c r="I3" s="5">
        <v>44562</v>
      </c>
      <c r="J3" s="6">
        <v>0</v>
      </c>
      <c r="K3" s="6">
        <v>0</v>
      </c>
      <c r="L3" s="6">
        <v>0.03</v>
      </c>
      <c r="M3" s="6">
        <v>0.03</v>
      </c>
      <c r="N3" s="6">
        <v>0.03</v>
      </c>
      <c r="O3" s="6">
        <v>0.03</v>
      </c>
      <c r="P3" s="6">
        <v>1</v>
      </c>
      <c r="Q3" s="4" t="s">
        <v>26</v>
      </c>
      <c r="R3" s="4">
        <v>0</v>
      </c>
      <c r="S3" s="4">
        <v>0</v>
      </c>
      <c r="T3" s="4">
        <v>3</v>
      </c>
      <c r="U3" s="4">
        <v>30</v>
      </c>
      <c r="V3" s="6">
        <f>IF(ISERROR(VLOOKUP($S$3,'TAR FIN'!$A$1:$O$73,15,0)),0,VLOOKUP($S$3,'TAR FIN'!$A$1:$O$73,15,0))</f>
        <v>0</v>
      </c>
      <c r="W3" s="6">
        <f>IF(ISERROR(VLOOKUP($T$3,'TAR FIN'!$A$1:$O$73,15,0)),0,VLOOKUP($T$3,'TAR FIN'!$A$1:$O$73,15,0))</f>
        <v>103.03</v>
      </c>
      <c r="X3" s="6">
        <f>IF(ISERROR(VLOOKUP($U$3,'TAR FIN'!$A$1:$O$73,15,0)),0,VLOOKUP($U$3,'TAR FIN'!$A$1:$O$73,15,0))</f>
        <v>86.83</v>
      </c>
      <c r="Y3" s="6"/>
      <c r="Z3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3" s="6">
        <f>('TE BE'!$AB$11+'TE BF'!$AB$11+'TE CVA'!$AB$11)*(1-CUSTOS!$M$34)</f>
        <v>67.235243465304549</v>
      </c>
      <c r="AB3" s="6">
        <f t="shared" si="0"/>
        <v>0</v>
      </c>
      <c r="AC3" s="6">
        <f>(L3-M3)*(W3+X3)+($W$33+$X$33-$W$3-$X$3)*(L3)</f>
        <v>10.577700000000002</v>
      </c>
      <c r="AD3" s="6">
        <f t="shared" si="1"/>
        <v>0</v>
      </c>
      <c r="AE3" s="6">
        <f ca="1">(L3-M3)*(Z3+AA3)+($Z$33+$AA$33-$Z$3-$AA$3)*(L3)</f>
        <v>10.612507214695682</v>
      </c>
      <c r="AF3" s="4" t="s">
        <v>464</v>
      </c>
      <c r="AH3" s="41" t="s">
        <v>470</v>
      </c>
      <c r="AI3" s="42">
        <f t="shared" si="2"/>
        <v>0</v>
      </c>
      <c r="AJ3" s="42">
        <f t="shared" si="3"/>
        <v>0</v>
      </c>
    </row>
    <row r="4" spans="1:36" ht="11.25" customHeight="1" x14ac:dyDescent="0.25">
      <c r="A4" s="4" t="s">
        <v>21</v>
      </c>
      <c r="B4" s="4" t="s">
        <v>22</v>
      </c>
      <c r="C4" s="4" t="s">
        <v>23</v>
      </c>
      <c r="D4" s="4" t="s">
        <v>24</v>
      </c>
      <c r="E4" s="4" t="s">
        <v>41</v>
      </c>
      <c r="F4" s="4" t="s">
        <v>25</v>
      </c>
      <c r="G4" s="4" t="s">
        <v>25</v>
      </c>
      <c r="H4" s="4" t="s">
        <v>25</v>
      </c>
      <c r="I4" s="5">
        <v>44593</v>
      </c>
      <c r="J4" s="6">
        <v>0</v>
      </c>
      <c r="K4" s="6">
        <v>0</v>
      </c>
      <c r="L4" s="6">
        <v>0.03</v>
      </c>
      <c r="M4" s="6">
        <v>0.03</v>
      </c>
      <c r="N4" s="6">
        <v>0.03</v>
      </c>
      <c r="O4" s="6">
        <v>0.03</v>
      </c>
      <c r="P4" s="6">
        <v>1</v>
      </c>
      <c r="Q4" s="4" t="s">
        <v>26</v>
      </c>
      <c r="R4" s="4">
        <v>0</v>
      </c>
      <c r="S4" s="4">
        <v>0</v>
      </c>
      <c r="T4" s="4">
        <v>3</v>
      </c>
      <c r="U4" s="4">
        <v>30</v>
      </c>
      <c r="V4" s="6">
        <f>IF(ISERROR(VLOOKUP($S$4,'TAR FIN'!$A$1:$O$73,15,0)),0,VLOOKUP($S$4,'TAR FIN'!$A$1:$O$73,15,0))</f>
        <v>0</v>
      </c>
      <c r="W4" s="6">
        <f>IF(ISERROR(VLOOKUP($T$4,'TAR FIN'!$A$1:$O$73,15,0)),0,VLOOKUP($T$4,'TAR FIN'!$A$1:$O$73,15,0))</f>
        <v>103.03</v>
      </c>
      <c r="X4" s="6">
        <f>IF(ISERROR(VLOOKUP($U$4,'TAR FIN'!$A$1:$O$73,15,0)),0,VLOOKUP($U$4,'TAR FIN'!$A$1:$O$73,15,0))</f>
        <v>86.83</v>
      </c>
      <c r="Y4" s="6"/>
      <c r="Z4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4" s="6">
        <f>('TE BE'!$AB$11+'TE BF'!$AB$11+'TE CVA'!$AB$11)*(1-CUSTOS!$M$34)</f>
        <v>67.235243465304549</v>
      </c>
      <c r="AB4" s="6">
        <f t="shared" si="0"/>
        <v>0</v>
      </c>
      <c r="AC4" s="6">
        <f>(L4-M4)*(W4+X4)+($W$33+$X$33-$W$4-$X$4)*(L4)</f>
        <v>10.577700000000002</v>
      </c>
      <c r="AD4" s="6">
        <f t="shared" si="1"/>
        <v>0</v>
      </c>
      <c r="AE4" s="6">
        <f ca="1">(L4-M4)*(Z4+AA4)+($Z$33+$AA$33-$Z$4-$AA$4)*(L4)</f>
        <v>10.612507214695682</v>
      </c>
      <c r="AF4" s="4" t="s">
        <v>464</v>
      </c>
      <c r="AH4" s="41" t="s">
        <v>471</v>
      </c>
      <c r="AI4" s="42">
        <f t="shared" si="2"/>
        <v>0</v>
      </c>
      <c r="AJ4" s="42">
        <f t="shared" si="3"/>
        <v>0</v>
      </c>
    </row>
    <row r="5" spans="1:36" ht="11.25" customHeight="1" x14ac:dyDescent="0.25">
      <c r="A5" s="4" t="s">
        <v>21</v>
      </c>
      <c r="B5" s="4" t="s">
        <v>22</v>
      </c>
      <c r="C5" s="4" t="s">
        <v>23</v>
      </c>
      <c r="D5" s="4" t="s">
        <v>24</v>
      </c>
      <c r="E5" s="4" t="s">
        <v>41</v>
      </c>
      <c r="F5" s="4" t="s">
        <v>25</v>
      </c>
      <c r="G5" s="4" t="s">
        <v>25</v>
      </c>
      <c r="H5" s="4" t="s">
        <v>25</v>
      </c>
      <c r="I5" s="5">
        <v>44621</v>
      </c>
      <c r="J5" s="6">
        <v>0</v>
      </c>
      <c r="K5" s="6">
        <v>0</v>
      </c>
      <c r="L5" s="6">
        <v>0.06</v>
      </c>
      <c r="M5" s="6">
        <v>0.06</v>
      </c>
      <c r="N5" s="6">
        <v>0.06</v>
      </c>
      <c r="O5" s="6">
        <v>0.06</v>
      </c>
      <c r="P5" s="6">
        <v>2</v>
      </c>
      <c r="Q5" s="4" t="s">
        <v>26</v>
      </c>
      <c r="R5" s="4">
        <v>0</v>
      </c>
      <c r="S5" s="4">
        <v>0</v>
      </c>
      <c r="T5" s="4">
        <v>3</v>
      </c>
      <c r="U5" s="4">
        <v>30</v>
      </c>
      <c r="V5" s="6">
        <f>IF(ISERROR(VLOOKUP($S$5,'TAR FIN'!$A$1:$O$73,15,0)),0,VLOOKUP($S$5,'TAR FIN'!$A$1:$O$73,15,0))</f>
        <v>0</v>
      </c>
      <c r="W5" s="6">
        <f>IF(ISERROR(VLOOKUP($T$5,'TAR FIN'!$A$1:$O$73,15,0)),0,VLOOKUP($T$5,'TAR FIN'!$A$1:$O$73,15,0))</f>
        <v>103.03</v>
      </c>
      <c r="X5" s="6">
        <f>IF(ISERROR(VLOOKUP($U$5,'TAR FIN'!$A$1:$O$73,15,0)),0,VLOOKUP($U$5,'TAR FIN'!$A$1:$O$73,15,0))</f>
        <v>86.83</v>
      </c>
      <c r="Y5" s="6"/>
      <c r="Z5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5" s="6">
        <f>('TE BE'!$AB$11+'TE BF'!$AB$11+'TE CVA'!$AB$11)*(1-CUSTOS!$M$34)</f>
        <v>67.235243465304549</v>
      </c>
      <c r="AB5" s="6">
        <f t="shared" si="0"/>
        <v>0</v>
      </c>
      <c r="AC5" s="6">
        <f>(L5-M5)*(W5+X5)+($W$33+$X$33-$W$5-$X$5)*(L5)</f>
        <v>21.155400000000004</v>
      </c>
      <c r="AD5" s="6">
        <f t="shared" si="1"/>
        <v>0</v>
      </c>
      <c r="AE5" s="6">
        <f ca="1">(L5-M5)*(Z5+AA5)+($Z$33+$AA$33-$Z$5-$AA$5)*(L5)</f>
        <v>21.225014429391365</v>
      </c>
      <c r="AF5" s="4" t="s">
        <v>464</v>
      </c>
      <c r="AH5" s="41" t="s">
        <v>466</v>
      </c>
      <c r="AI5" s="42">
        <f t="shared" si="2"/>
        <v>430.69035239999994</v>
      </c>
      <c r="AJ5" s="42">
        <f t="shared" ca="1" si="3"/>
        <v>230.74137899539608</v>
      </c>
    </row>
    <row r="6" spans="1:36" ht="11.25" customHeight="1" x14ac:dyDescent="0.25">
      <c r="A6" s="4" t="s">
        <v>21</v>
      </c>
      <c r="B6" s="4" t="s">
        <v>22</v>
      </c>
      <c r="C6" s="4" t="s">
        <v>23</v>
      </c>
      <c r="D6" s="4" t="s">
        <v>24</v>
      </c>
      <c r="E6" s="4" t="s">
        <v>41</v>
      </c>
      <c r="F6" s="4" t="s">
        <v>25</v>
      </c>
      <c r="G6" s="4" t="s">
        <v>25</v>
      </c>
      <c r="H6" s="4" t="s">
        <v>25</v>
      </c>
      <c r="I6" s="5">
        <v>44652</v>
      </c>
      <c r="J6" s="6">
        <v>0</v>
      </c>
      <c r="K6" s="6">
        <v>0</v>
      </c>
      <c r="L6" s="6">
        <v>0.03</v>
      </c>
      <c r="M6" s="6">
        <v>0.03</v>
      </c>
      <c r="N6" s="6">
        <v>0.03</v>
      </c>
      <c r="O6" s="6">
        <v>0.03</v>
      </c>
      <c r="P6" s="6">
        <v>1</v>
      </c>
      <c r="Q6" s="4" t="s">
        <v>26</v>
      </c>
      <c r="R6" s="4">
        <v>0</v>
      </c>
      <c r="S6" s="4">
        <v>0</v>
      </c>
      <c r="T6" s="4">
        <v>3</v>
      </c>
      <c r="U6" s="4">
        <v>30</v>
      </c>
      <c r="V6" s="6">
        <f>IF(ISERROR(VLOOKUP($S$6,'TAR FIN'!$A$1:$O$73,15,0)),0,VLOOKUP($S$6,'TAR FIN'!$A$1:$O$73,15,0))</f>
        <v>0</v>
      </c>
      <c r="W6" s="6">
        <f>IF(ISERROR(VLOOKUP($T$6,'TAR FIN'!$A$1:$O$73,15,0)),0,VLOOKUP($T$6,'TAR FIN'!$A$1:$O$73,15,0))</f>
        <v>103.03</v>
      </c>
      <c r="X6" s="6">
        <f>IF(ISERROR(VLOOKUP($U$6,'TAR FIN'!$A$1:$O$73,15,0)),0,VLOOKUP($U$6,'TAR FIN'!$A$1:$O$73,15,0))</f>
        <v>86.83</v>
      </c>
      <c r="Y6" s="6"/>
      <c r="Z6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6" s="6">
        <f>('TE BE'!$AB$11+'TE BF'!$AB$11+'TE CVA'!$AB$11)*(1-CUSTOS!$M$34)</f>
        <v>67.235243465304549</v>
      </c>
      <c r="AB6" s="6">
        <f t="shared" si="0"/>
        <v>0</v>
      </c>
      <c r="AC6" s="6">
        <f>(L6-M6)*(W6+X6)+($W$33+$X$33-$W$6-$X$6)*(L6)</f>
        <v>10.577700000000002</v>
      </c>
      <c r="AD6" s="6">
        <f t="shared" si="1"/>
        <v>0</v>
      </c>
      <c r="AE6" s="6">
        <f ca="1">(L6-M6)*(Z6+AA6)+($Z$33+$AA$33-$Z$6-$AA$6)*(L6)</f>
        <v>10.612507214695682</v>
      </c>
      <c r="AF6" s="4" t="s">
        <v>464</v>
      </c>
      <c r="AH6" s="41" t="s">
        <v>465</v>
      </c>
      <c r="AI6" s="42">
        <f t="shared" si="2"/>
        <v>469414.06365000026</v>
      </c>
      <c r="AJ6" s="42">
        <f t="shared" ca="1" si="3"/>
        <v>251496.79085679151</v>
      </c>
    </row>
    <row r="7" spans="1:36" ht="11.25" customHeight="1" x14ac:dyDescent="0.25">
      <c r="A7" s="4" t="s">
        <v>21</v>
      </c>
      <c r="B7" s="4" t="s">
        <v>22</v>
      </c>
      <c r="C7" s="4" t="s">
        <v>23</v>
      </c>
      <c r="D7" s="4" t="s">
        <v>24</v>
      </c>
      <c r="E7" s="4" t="s">
        <v>41</v>
      </c>
      <c r="F7" s="4" t="s">
        <v>25</v>
      </c>
      <c r="G7" s="4" t="s">
        <v>25</v>
      </c>
      <c r="H7" s="4" t="s">
        <v>25</v>
      </c>
      <c r="I7" s="5">
        <v>44682</v>
      </c>
      <c r="J7" s="6">
        <v>0</v>
      </c>
      <c r="K7" s="6">
        <v>0</v>
      </c>
      <c r="L7" s="6">
        <v>0.03</v>
      </c>
      <c r="M7" s="6">
        <v>0.03</v>
      </c>
      <c r="N7" s="6">
        <v>0.03</v>
      </c>
      <c r="O7" s="6">
        <v>0.03</v>
      </c>
      <c r="P7" s="6">
        <v>1</v>
      </c>
      <c r="Q7" s="4" t="s">
        <v>26</v>
      </c>
      <c r="R7" s="4">
        <v>0</v>
      </c>
      <c r="S7" s="4">
        <v>0</v>
      </c>
      <c r="T7" s="4">
        <v>3</v>
      </c>
      <c r="U7" s="4">
        <v>30</v>
      </c>
      <c r="V7" s="6">
        <f>IF(ISERROR(VLOOKUP($S$7,'TAR FIN'!$A$1:$O$73,15,0)),0,VLOOKUP($S$7,'TAR FIN'!$A$1:$O$73,15,0))</f>
        <v>0</v>
      </c>
      <c r="W7" s="6">
        <f>IF(ISERROR(VLOOKUP($T$7,'TAR FIN'!$A$1:$O$73,15,0)),0,VLOOKUP($T$7,'TAR FIN'!$A$1:$O$73,15,0))</f>
        <v>103.03</v>
      </c>
      <c r="X7" s="6">
        <f>IF(ISERROR(VLOOKUP($U$7,'TAR FIN'!$A$1:$O$73,15,0)),0,VLOOKUP($U$7,'TAR FIN'!$A$1:$O$73,15,0))</f>
        <v>86.83</v>
      </c>
      <c r="Y7" s="6"/>
      <c r="Z7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7" s="6">
        <f>('TE BE'!$AB$11+'TE BF'!$AB$11+'TE CVA'!$AB$11)*(1-CUSTOS!$M$34)</f>
        <v>67.235243465304549</v>
      </c>
      <c r="AB7" s="6">
        <f t="shared" si="0"/>
        <v>0</v>
      </c>
      <c r="AC7" s="6">
        <f>(L7-M7)*(W7+X7)+($W$33+$X$33-$W$7-$X$7)*(L7)</f>
        <v>10.577700000000002</v>
      </c>
      <c r="AD7" s="6">
        <f t="shared" si="1"/>
        <v>0</v>
      </c>
      <c r="AE7" s="6">
        <f ca="1">(L7-M7)*(Z7+AA7)+($Z$33+$AA$33-$Z$7-$AA$7)*(L7)</f>
        <v>10.612507214695682</v>
      </c>
      <c r="AF7" s="4" t="s">
        <v>464</v>
      </c>
      <c r="AH7" s="41" t="s">
        <v>472</v>
      </c>
      <c r="AI7" s="42">
        <f t="shared" si="2"/>
        <v>0</v>
      </c>
      <c r="AJ7" s="42">
        <f t="shared" si="3"/>
        <v>0</v>
      </c>
    </row>
    <row r="8" spans="1:36" ht="11.25" customHeight="1" x14ac:dyDescent="0.25">
      <c r="A8" s="4" t="s">
        <v>21</v>
      </c>
      <c r="B8" s="4" t="s">
        <v>22</v>
      </c>
      <c r="C8" s="4" t="s">
        <v>23</v>
      </c>
      <c r="D8" s="4" t="s">
        <v>24</v>
      </c>
      <c r="E8" s="4" t="s">
        <v>41</v>
      </c>
      <c r="F8" s="4" t="s">
        <v>25</v>
      </c>
      <c r="G8" s="4" t="s">
        <v>25</v>
      </c>
      <c r="H8" s="4" t="s">
        <v>25</v>
      </c>
      <c r="I8" s="5">
        <v>44713</v>
      </c>
      <c r="J8" s="6">
        <v>0</v>
      </c>
      <c r="K8" s="6">
        <v>0</v>
      </c>
      <c r="L8" s="6">
        <v>0.09</v>
      </c>
      <c r="M8" s="6">
        <v>0.09</v>
      </c>
      <c r="N8" s="6">
        <v>0.09</v>
      </c>
      <c r="O8" s="6">
        <v>0.09</v>
      </c>
      <c r="P8" s="6">
        <v>3</v>
      </c>
      <c r="Q8" s="4" t="s">
        <v>26</v>
      </c>
      <c r="R8" s="4">
        <v>0</v>
      </c>
      <c r="S8" s="4">
        <v>0</v>
      </c>
      <c r="T8" s="4">
        <v>3</v>
      </c>
      <c r="U8" s="4">
        <v>30</v>
      </c>
      <c r="V8" s="6">
        <f>IF(ISERROR(VLOOKUP($S$8,'TAR FIN'!$A$1:$O$73,15,0)),0,VLOOKUP($S$8,'TAR FIN'!$A$1:$O$73,15,0))</f>
        <v>0</v>
      </c>
      <c r="W8" s="6">
        <f>IF(ISERROR(VLOOKUP($T$8,'TAR FIN'!$A$1:$O$73,15,0)),0,VLOOKUP($T$8,'TAR FIN'!$A$1:$O$73,15,0))</f>
        <v>103.03</v>
      </c>
      <c r="X8" s="6">
        <f>IF(ISERROR(VLOOKUP($U$8,'TAR FIN'!$A$1:$O$73,15,0)),0,VLOOKUP($U$8,'TAR FIN'!$A$1:$O$73,15,0))</f>
        <v>86.83</v>
      </c>
      <c r="Y8" s="6"/>
      <c r="Z8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8" s="6">
        <f>('TE BE'!$AB$11+'TE BF'!$AB$11+'TE CVA'!$AB$11)*(1-CUSTOS!$M$34)</f>
        <v>67.235243465304549</v>
      </c>
      <c r="AB8" s="6">
        <f t="shared" si="0"/>
        <v>0</v>
      </c>
      <c r="AC8" s="6">
        <f>(L8-M8)*(W8+X8)+($W$33+$X$33-$W$8-$X$8)*(L8)</f>
        <v>31.733100000000007</v>
      </c>
      <c r="AD8" s="6">
        <f t="shared" si="1"/>
        <v>0</v>
      </c>
      <c r="AE8" s="6">
        <f ca="1">(L8-M8)*(Z8+AA8)+($Z$33+$AA$33-$Z$8-$AA$8)*(L8)</f>
        <v>31.837521644087047</v>
      </c>
      <c r="AF8" s="4" t="s">
        <v>464</v>
      </c>
      <c r="AH8" s="41" t="s">
        <v>464</v>
      </c>
      <c r="AI8" s="42">
        <f t="shared" si="2"/>
        <v>5948.9650700000029</v>
      </c>
      <c r="AJ8" s="42">
        <f t="shared" ca="1" si="3"/>
        <v>5968.0386726334682</v>
      </c>
    </row>
    <row r="9" spans="1:36" ht="11.25" customHeight="1" x14ac:dyDescent="0.25">
      <c r="A9" s="4" t="s">
        <v>21</v>
      </c>
      <c r="B9" s="4" t="s">
        <v>22</v>
      </c>
      <c r="C9" s="4" t="s">
        <v>23</v>
      </c>
      <c r="D9" s="4" t="s">
        <v>24</v>
      </c>
      <c r="E9" s="4" t="s">
        <v>41</v>
      </c>
      <c r="F9" s="4" t="s">
        <v>25</v>
      </c>
      <c r="G9" s="4" t="s">
        <v>25</v>
      </c>
      <c r="H9" s="4" t="s">
        <v>25</v>
      </c>
      <c r="I9" s="5">
        <v>44743</v>
      </c>
      <c r="J9" s="6">
        <v>0</v>
      </c>
      <c r="K9" s="6">
        <v>0</v>
      </c>
      <c r="L9" s="6">
        <v>0.12</v>
      </c>
      <c r="M9" s="6">
        <v>0.12</v>
      </c>
      <c r="N9" s="6">
        <v>0.12</v>
      </c>
      <c r="O9" s="6">
        <v>0.12</v>
      </c>
      <c r="P9" s="6">
        <v>4</v>
      </c>
      <c r="Q9" s="4" t="s">
        <v>26</v>
      </c>
      <c r="R9" s="4">
        <v>0</v>
      </c>
      <c r="S9" s="4">
        <v>0</v>
      </c>
      <c r="T9" s="4">
        <v>3</v>
      </c>
      <c r="U9" s="4">
        <v>30</v>
      </c>
      <c r="V9" s="6">
        <f>IF(ISERROR(VLOOKUP($S$9,'TAR FIN'!$A$1:$O$73,15,0)),0,VLOOKUP($S$9,'TAR FIN'!$A$1:$O$73,15,0))</f>
        <v>0</v>
      </c>
      <c r="W9" s="6">
        <f>IF(ISERROR(VLOOKUP($T$9,'TAR FIN'!$A$1:$O$73,15,0)),0,VLOOKUP($T$9,'TAR FIN'!$A$1:$O$73,15,0))</f>
        <v>103.03</v>
      </c>
      <c r="X9" s="6">
        <f>IF(ISERROR(VLOOKUP($U$9,'TAR FIN'!$A$1:$O$73,15,0)),0,VLOOKUP($U$9,'TAR FIN'!$A$1:$O$73,15,0))</f>
        <v>86.83</v>
      </c>
      <c r="Y9" s="6"/>
      <c r="Z9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9" s="6">
        <f>('TE BE'!$AB$11+'TE BF'!$AB$11+'TE CVA'!$AB$11)*(1-CUSTOS!$M$34)</f>
        <v>67.235243465304549</v>
      </c>
      <c r="AB9" s="6">
        <f t="shared" si="0"/>
        <v>0</v>
      </c>
      <c r="AC9" s="6">
        <f>(L9-M9)*(W9+X9)+($W$33+$X$33-$W$9-$X$9)*(L9)</f>
        <v>42.310800000000008</v>
      </c>
      <c r="AD9" s="6">
        <f t="shared" si="1"/>
        <v>0</v>
      </c>
      <c r="AE9" s="6">
        <f ca="1">(L9-M9)*(Z9+AA9)+($Z$33+$AA$33-$Z$9-$AA$9)*(L9)</f>
        <v>42.45002885878273</v>
      </c>
      <c r="AF9" s="4" t="s">
        <v>464</v>
      </c>
      <c r="AH9" s="41" t="s">
        <v>473</v>
      </c>
      <c r="AI9" s="42">
        <f t="shared" si="2"/>
        <v>0</v>
      </c>
      <c r="AJ9" s="42">
        <f t="shared" si="3"/>
        <v>0</v>
      </c>
    </row>
    <row r="10" spans="1:36" ht="11.25" customHeight="1" x14ac:dyDescent="0.25">
      <c r="A10" s="4" t="s">
        <v>21</v>
      </c>
      <c r="B10" s="4" t="s">
        <v>22</v>
      </c>
      <c r="C10" s="4" t="s">
        <v>23</v>
      </c>
      <c r="D10" s="4" t="s">
        <v>24</v>
      </c>
      <c r="E10" s="4" t="s">
        <v>41</v>
      </c>
      <c r="F10" s="4" t="s">
        <v>25</v>
      </c>
      <c r="G10" s="4" t="s">
        <v>25</v>
      </c>
      <c r="H10" s="4" t="s">
        <v>25</v>
      </c>
      <c r="I10" s="5">
        <v>44774</v>
      </c>
      <c r="J10" s="6">
        <v>0</v>
      </c>
      <c r="K10" s="6">
        <v>0</v>
      </c>
      <c r="L10" s="6">
        <v>0.03</v>
      </c>
      <c r="M10" s="6">
        <v>0.03</v>
      </c>
      <c r="N10" s="6">
        <v>0.03</v>
      </c>
      <c r="O10" s="6">
        <v>0.03</v>
      </c>
      <c r="P10" s="6">
        <v>1</v>
      </c>
      <c r="Q10" s="4" t="s">
        <v>26</v>
      </c>
      <c r="R10" s="4">
        <v>0</v>
      </c>
      <c r="S10" s="4">
        <v>0</v>
      </c>
      <c r="T10" s="4">
        <v>3</v>
      </c>
      <c r="U10" s="4">
        <v>30</v>
      </c>
      <c r="V10" s="6">
        <f>IF(ISERROR(VLOOKUP($S$10,'TAR FIN'!$A$1:$O$73,15,0)),0,VLOOKUP($S$10,'TAR FIN'!$A$1:$O$73,15,0))</f>
        <v>0</v>
      </c>
      <c r="W10" s="6">
        <f>IF(ISERROR(VLOOKUP($T$10,'TAR FIN'!$A$1:$O$73,15,0)),0,VLOOKUP($T$10,'TAR FIN'!$A$1:$O$73,15,0))</f>
        <v>103.03</v>
      </c>
      <c r="X10" s="6">
        <f>IF(ISERROR(VLOOKUP($U$10,'TAR FIN'!$A$1:$O$73,15,0)),0,VLOOKUP($U$10,'TAR FIN'!$A$1:$O$73,15,0))</f>
        <v>86.83</v>
      </c>
      <c r="Y10" s="6"/>
      <c r="Z10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10" s="6">
        <f>('TE BE'!$AB$11+'TE BF'!$AB$11+'TE CVA'!$AB$11)*(1-CUSTOS!$M$34)</f>
        <v>67.235243465304549</v>
      </c>
      <c r="AB10" s="6">
        <f t="shared" si="0"/>
        <v>0</v>
      </c>
      <c r="AC10" s="6">
        <f>(L10-M10)*(W10+X10)+($W$33+$X$33-$W$10-$X$10)*(L10)</f>
        <v>10.577700000000002</v>
      </c>
      <c r="AD10" s="6">
        <f t="shared" si="1"/>
        <v>0</v>
      </c>
      <c r="AE10" s="6">
        <f ca="1">(L10-M10)*(Z10+AA10)+($Z$33+$AA$33-$Z$10-$AA$10)*(L10)</f>
        <v>10.612507214695682</v>
      </c>
      <c r="AF10" s="4" t="s">
        <v>464</v>
      </c>
    </row>
    <row r="11" spans="1:36" ht="11.25" customHeight="1" x14ac:dyDescent="0.25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41</v>
      </c>
      <c r="F11" s="4" t="s">
        <v>25</v>
      </c>
      <c r="G11" s="4" t="s">
        <v>25</v>
      </c>
      <c r="H11" s="4" t="s">
        <v>25</v>
      </c>
      <c r="I11" s="5">
        <v>44805</v>
      </c>
      <c r="J11" s="6">
        <v>0</v>
      </c>
      <c r="K11" s="6">
        <v>0</v>
      </c>
      <c r="L11" s="6">
        <v>0.03</v>
      </c>
      <c r="M11" s="6">
        <v>0.03</v>
      </c>
      <c r="N11" s="6">
        <v>0.03</v>
      </c>
      <c r="O11" s="6">
        <v>0.03</v>
      </c>
      <c r="P11" s="6">
        <v>1</v>
      </c>
      <c r="Q11" s="4" t="s">
        <v>26</v>
      </c>
      <c r="R11" s="4">
        <v>0</v>
      </c>
      <c r="S11" s="4">
        <v>0</v>
      </c>
      <c r="T11" s="4">
        <v>3</v>
      </c>
      <c r="U11" s="4">
        <v>30</v>
      </c>
      <c r="V11" s="6">
        <f>IF(ISERROR(VLOOKUP($S$11,'TAR FIN'!$A$1:$O$73,15,0)),0,VLOOKUP($S$11,'TAR FIN'!$A$1:$O$73,15,0))</f>
        <v>0</v>
      </c>
      <c r="W11" s="6">
        <f>IF(ISERROR(VLOOKUP($T$11,'TAR FIN'!$A$1:$O$73,15,0)),0,VLOOKUP($T$11,'TAR FIN'!$A$1:$O$73,15,0))</f>
        <v>103.03</v>
      </c>
      <c r="X11" s="6">
        <f>IF(ISERROR(VLOOKUP($U$11,'TAR FIN'!$A$1:$O$73,15,0)),0,VLOOKUP($U$11,'TAR FIN'!$A$1:$O$73,15,0))</f>
        <v>86.83</v>
      </c>
      <c r="Y11" s="6"/>
      <c r="Z11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11" s="6">
        <f>('TE BE'!$AB$11+'TE BF'!$AB$11+'TE CVA'!$AB$11)*(1-CUSTOS!$M$34)</f>
        <v>67.235243465304549</v>
      </c>
      <c r="AB11" s="6">
        <f t="shared" si="0"/>
        <v>0</v>
      </c>
      <c r="AC11" s="6">
        <f>(L11-M11)*(W11+X11)+($W$33+$X$33-$W$11-$X$11)*(L11)</f>
        <v>10.577700000000002</v>
      </c>
      <c r="AD11" s="6">
        <f t="shared" si="1"/>
        <v>0</v>
      </c>
      <c r="AE11" s="6">
        <f ca="1">(L11-M11)*(Z11+AA11)+($Z$33+$AA$33-$Z$11-$AA$11)*(L11)</f>
        <v>10.612507214695682</v>
      </c>
      <c r="AF11" s="4" t="s">
        <v>464</v>
      </c>
      <c r="AJ11" s="6">
        <f ca="1">SUM(AJ2:AJ10)</f>
        <v>257695.57090842037</v>
      </c>
    </row>
    <row r="12" spans="1:36" ht="11.25" customHeight="1" x14ac:dyDescent="0.25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41</v>
      </c>
      <c r="F12" s="4" t="s">
        <v>25</v>
      </c>
      <c r="G12" s="4" t="s">
        <v>25</v>
      </c>
      <c r="H12" s="4" t="s">
        <v>25</v>
      </c>
      <c r="I12" s="5">
        <v>44835</v>
      </c>
      <c r="J12" s="6">
        <v>0</v>
      </c>
      <c r="K12" s="6">
        <v>0</v>
      </c>
      <c r="L12" s="6">
        <v>0.03</v>
      </c>
      <c r="M12" s="6">
        <v>0.03</v>
      </c>
      <c r="N12" s="6">
        <v>0.03</v>
      </c>
      <c r="O12" s="6">
        <v>0.03</v>
      </c>
      <c r="P12" s="6">
        <v>1</v>
      </c>
      <c r="Q12" s="4" t="s">
        <v>26</v>
      </c>
      <c r="R12" s="4">
        <v>0</v>
      </c>
      <c r="S12" s="4">
        <v>0</v>
      </c>
      <c r="T12" s="4">
        <v>3</v>
      </c>
      <c r="U12" s="4">
        <v>30</v>
      </c>
      <c r="V12" s="6">
        <f>IF(ISERROR(VLOOKUP($S$12,'TAR FIN'!$A$1:$O$73,15,0)),0,VLOOKUP($S$12,'TAR FIN'!$A$1:$O$73,15,0))</f>
        <v>0</v>
      </c>
      <c r="W12" s="6">
        <f>IF(ISERROR(VLOOKUP($T$12,'TAR FIN'!$A$1:$O$73,15,0)),0,VLOOKUP($T$12,'TAR FIN'!$A$1:$O$73,15,0))</f>
        <v>103.03</v>
      </c>
      <c r="X12" s="6">
        <f>IF(ISERROR(VLOOKUP($U$12,'TAR FIN'!$A$1:$O$73,15,0)),0,VLOOKUP($U$12,'TAR FIN'!$A$1:$O$73,15,0))</f>
        <v>86.83</v>
      </c>
      <c r="Y12" s="6"/>
      <c r="Z12" s="6">
        <f ca="1">('TUSD BE'!$AM$21+'TUSD BF'!$AM$21+'TUSD CVA'!$AM$21-('TUSD BE'!$P$21+'TUSD BF'!$P$21+'TUSD CVA'!$P$21)-('TUSD BE'!$Q$21+'TUSD BF'!$Q$21+'TUSD CVA'!$Q$21)-('TUSD BE'!$R$21+'TUSD BF'!$R$21+'TUSD CVA'!$R$21))*(1-CUSTOS!$M$34)</f>
        <v>123.24565526000259</v>
      </c>
      <c r="AA12" s="6">
        <f>('TE BE'!$AB$11+'TE BF'!$AB$11+'TE CVA'!$AB$11)*(1-CUSTOS!$M$34)</f>
        <v>67.235243465304549</v>
      </c>
      <c r="AB12" s="6">
        <f t="shared" si="0"/>
        <v>0</v>
      </c>
      <c r="AC12" s="6">
        <f>(L12-M12)*(W12+X12)+($W$33+$X$33-$W$12-$X$12)*(L12)</f>
        <v>10.577700000000002</v>
      </c>
      <c r="AD12" s="6">
        <f t="shared" si="1"/>
        <v>0</v>
      </c>
      <c r="AE12" s="6">
        <f ca="1">(L12-M12)*(Z12+AA12)+($Z$33+$AA$33-$Z$12-$AA$12)*(L12)</f>
        <v>10.612507214695682</v>
      </c>
      <c r="AF12" s="4" t="s">
        <v>464</v>
      </c>
    </row>
    <row r="13" spans="1:36" ht="11.25" customHeight="1" x14ac:dyDescent="0.25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42</v>
      </c>
      <c r="F13" s="4" t="s">
        <v>25</v>
      </c>
      <c r="G13" s="4" t="s">
        <v>25</v>
      </c>
      <c r="H13" s="4" t="s">
        <v>25</v>
      </c>
      <c r="I13" s="5">
        <v>44593</v>
      </c>
      <c r="J13" s="6">
        <v>0</v>
      </c>
      <c r="K13" s="6">
        <v>0</v>
      </c>
      <c r="L13" s="6">
        <v>8.7999999999999995E-2</v>
      </c>
      <c r="M13" s="6">
        <v>8.7999999999999995E-2</v>
      </c>
      <c r="N13" s="6">
        <v>8.7999999999999995E-2</v>
      </c>
      <c r="O13" s="6">
        <v>8.7999999999999995E-2</v>
      </c>
      <c r="P13" s="6">
        <v>1</v>
      </c>
      <c r="Q13" s="4" t="s">
        <v>26</v>
      </c>
      <c r="R13" s="4">
        <v>0</v>
      </c>
      <c r="S13" s="4">
        <v>0</v>
      </c>
      <c r="T13" s="4">
        <v>38</v>
      </c>
      <c r="U13" s="4">
        <v>32</v>
      </c>
      <c r="V13" s="6">
        <f>IF(ISERROR(VLOOKUP($S$13,'TAR FIN'!$A$1:$O$73,15,0)),0,VLOOKUP($S$13,'TAR FIN'!$A$1:$O$73,15,0))</f>
        <v>0</v>
      </c>
      <c r="W13" s="6">
        <f>IF(ISERROR(VLOOKUP($T$13,'TAR FIN'!$A$1:$O$73,15,0)),0,VLOOKUP($T$13,'TAR FIN'!$A$1:$O$73,15,0))</f>
        <v>176.61</v>
      </c>
      <c r="X13" s="6">
        <f>IF(ISERROR(VLOOKUP($U$13,'TAR FIN'!$A$1:$O$73,15,0)),0,VLOOKUP($U$13,'TAR FIN'!$A$1:$O$73,15,0))</f>
        <v>148.85</v>
      </c>
      <c r="Y13" s="6"/>
      <c r="Z13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13" s="6">
        <f>('TE BE'!$AB$12+'TE BF'!$AB$12+'TE CVA'!$AB$12)*(1-CUSTOS!$M$35)</f>
        <v>115.26041736909352</v>
      </c>
      <c r="AB13" s="6">
        <f t="shared" si="0"/>
        <v>0</v>
      </c>
      <c r="AC13" s="6">
        <f>(L13-M13)*(W13+X13)+($W$33+$X$33-$W$13-$X$13)*(L13)</f>
        <v>19.095120000000001</v>
      </c>
      <c r="AD13" s="6">
        <f t="shared" si="1"/>
        <v>0</v>
      </c>
      <c r="AE13" s="6">
        <f ca="1">(L13-M13)*(Z13+AA13)+($Z$33+$AA$33-$Z$13-$AA$13)*(L13)</f>
        <v>19.156936100373741</v>
      </c>
      <c r="AF13" s="4" t="s">
        <v>464</v>
      </c>
    </row>
    <row r="14" spans="1:36" ht="11.25" customHeight="1" x14ac:dyDescent="0.25">
      <c r="A14" s="4" t="s">
        <v>21</v>
      </c>
      <c r="B14" s="4" t="s">
        <v>22</v>
      </c>
      <c r="C14" s="4" t="s">
        <v>23</v>
      </c>
      <c r="D14" s="4" t="s">
        <v>24</v>
      </c>
      <c r="E14" s="4" t="s">
        <v>42</v>
      </c>
      <c r="F14" s="4" t="s">
        <v>25</v>
      </c>
      <c r="G14" s="4" t="s">
        <v>25</v>
      </c>
      <c r="H14" s="4" t="s">
        <v>25</v>
      </c>
      <c r="I14" s="5">
        <v>44621</v>
      </c>
      <c r="J14" s="6">
        <v>0</v>
      </c>
      <c r="K14" s="6">
        <v>0</v>
      </c>
      <c r="L14" s="6">
        <v>0.24</v>
      </c>
      <c r="M14" s="6">
        <v>0.24</v>
      </c>
      <c r="N14" s="6">
        <v>0.24</v>
      </c>
      <c r="O14" s="6">
        <v>0.24</v>
      </c>
      <c r="P14" s="6">
        <v>4</v>
      </c>
      <c r="Q14" s="4" t="s">
        <v>26</v>
      </c>
      <c r="R14" s="4">
        <v>0</v>
      </c>
      <c r="S14" s="4">
        <v>0</v>
      </c>
      <c r="T14" s="4">
        <v>38</v>
      </c>
      <c r="U14" s="4">
        <v>32</v>
      </c>
      <c r="V14" s="6">
        <f>IF(ISERROR(VLOOKUP($S$14,'TAR FIN'!$A$1:$O$73,15,0)),0,VLOOKUP($S$14,'TAR FIN'!$A$1:$O$73,15,0))</f>
        <v>0</v>
      </c>
      <c r="W14" s="6">
        <f>IF(ISERROR(VLOOKUP($T$14,'TAR FIN'!$A$1:$O$73,15,0)),0,VLOOKUP($T$14,'TAR FIN'!$A$1:$O$73,15,0))</f>
        <v>176.61</v>
      </c>
      <c r="X14" s="6">
        <f>IF(ISERROR(VLOOKUP($U$14,'TAR FIN'!$A$1:$O$73,15,0)),0,VLOOKUP($U$14,'TAR FIN'!$A$1:$O$73,15,0))</f>
        <v>148.85</v>
      </c>
      <c r="Y14" s="6"/>
      <c r="Z14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14" s="6">
        <f>('TE BE'!$AB$12+'TE BF'!$AB$12+'TE CVA'!$AB$12)*(1-CUSTOS!$M$35)</f>
        <v>115.26041736909352</v>
      </c>
      <c r="AB14" s="6">
        <f t="shared" si="0"/>
        <v>0</v>
      </c>
      <c r="AC14" s="6">
        <f>(L14-M14)*(W14+X14)+($W$33+$X$33-$W$14-$X$14)*(L14)</f>
        <v>52.077600000000004</v>
      </c>
      <c r="AD14" s="6">
        <f t="shared" si="1"/>
        <v>0</v>
      </c>
      <c r="AE14" s="6">
        <f ca="1">(L14-M14)*(Z14+AA14)+($Z$33+$AA$33-$Z$14-$AA$14)*(L14)</f>
        <v>52.246189364655656</v>
      </c>
      <c r="AF14" s="4" t="s">
        <v>464</v>
      </c>
    </row>
    <row r="15" spans="1:36" ht="11.25" customHeight="1" x14ac:dyDescent="0.25">
      <c r="A15" s="4" t="s">
        <v>21</v>
      </c>
      <c r="B15" s="4" t="s">
        <v>22</v>
      </c>
      <c r="C15" s="4" t="s">
        <v>23</v>
      </c>
      <c r="D15" s="4" t="s">
        <v>24</v>
      </c>
      <c r="E15" s="4" t="s">
        <v>42</v>
      </c>
      <c r="F15" s="4" t="s">
        <v>25</v>
      </c>
      <c r="G15" s="4" t="s">
        <v>25</v>
      </c>
      <c r="H15" s="4" t="s">
        <v>25</v>
      </c>
      <c r="I15" s="5">
        <v>44652</v>
      </c>
      <c r="J15" s="6">
        <v>0</v>
      </c>
      <c r="K15" s="6">
        <v>0</v>
      </c>
      <c r="L15" s="6">
        <v>0.81100000000000005</v>
      </c>
      <c r="M15" s="6">
        <v>0.81100000000000005</v>
      </c>
      <c r="N15" s="6">
        <v>0.81100000000000005</v>
      </c>
      <c r="O15" s="6">
        <v>0.81100000000000005</v>
      </c>
      <c r="P15" s="6">
        <v>13</v>
      </c>
      <c r="Q15" s="4" t="s">
        <v>26</v>
      </c>
      <c r="R15" s="4">
        <v>0</v>
      </c>
      <c r="S15" s="4">
        <v>0</v>
      </c>
      <c r="T15" s="4">
        <v>38</v>
      </c>
      <c r="U15" s="4">
        <v>32</v>
      </c>
      <c r="V15" s="6">
        <f>IF(ISERROR(VLOOKUP($S$15,'TAR FIN'!$A$1:$O$73,15,0)),0,VLOOKUP($S$15,'TAR FIN'!$A$1:$O$73,15,0))</f>
        <v>0</v>
      </c>
      <c r="W15" s="6">
        <f>IF(ISERROR(VLOOKUP($T$15,'TAR FIN'!$A$1:$O$73,15,0)),0,VLOOKUP($T$15,'TAR FIN'!$A$1:$O$73,15,0))</f>
        <v>176.61</v>
      </c>
      <c r="X15" s="6">
        <f>IF(ISERROR(VLOOKUP($U$15,'TAR FIN'!$A$1:$O$73,15,0)),0,VLOOKUP($U$15,'TAR FIN'!$A$1:$O$73,15,0))</f>
        <v>148.85</v>
      </c>
      <c r="Y15" s="6"/>
      <c r="Z15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15" s="6">
        <f>('TE BE'!$AB$12+'TE BF'!$AB$12+'TE CVA'!$AB$12)*(1-CUSTOS!$M$35)</f>
        <v>115.26041736909352</v>
      </c>
      <c r="AB15" s="6">
        <f t="shared" si="0"/>
        <v>0</v>
      </c>
      <c r="AC15" s="6">
        <f>(L15-M15)*(W15+X15)+($W$33+$X$33-$W$15-$X$15)*(L15)</f>
        <v>175.97889000000004</v>
      </c>
      <c r="AD15" s="6">
        <f t="shared" si="1"/>
        <v>0</v>
      </c>
      <c r="AE15" s="6">
        <f ca="1">(L15-M15)*(Z15+AA15)+($Z$33+$AA$33-$Z$15-$AA$15)*(L15)</f>
        <v>176.54858156139892</v>
      </c>
      <c r="AF15" s="4" t="s">
        <v>464</v>
      </c>
    </row>
    <row r="16" spans="1:36" ht="11.25" customHeight="1" x14ac:dyDescent="0.25">
      <c r="A16" s="4" t="s">
        <v>21</v>
      </c>
      <c r="B16" s="4" t="s">
        <v>22</v>
      </c>
      <c r="C16" s="4" t="s">
        <v>23</v>
      </c>
      <c r="D16" s="4" t="s">
        <v>24</v>
      </c>
      <c r="E16" s="4" t="s">
        <v>42</v>
      </c>
      <c r="F16" s="4" t="s">
        <v>25</v>
      </c>
      <c r="G16" s="4" t="s">
        <v>25</v>
      </c>
      <c r="H16" s="4" t="s">
        <v>25</v>
      </c>
      <c r="I16" s="5">
        <v>44682</v>
      </c>
      <c r="J16" s="6">
        <v>0</v>
      </c>
      <c r="K16" s="6">
        <v>0</v>
      </c>
      <c r="L16" s="6">
        <v>0.97299999999999998</v>
      </c>
      <c r="M16" s="6">
        <v>0.97299999999999998</v>
      </c>
      <c r="N16" s="6">
        <v>0.97299999999999998</v>
      </c>
      <c r="O16" s="6">
        <v>0.97299999999999998</v>
      </c>
      <c r="P16" s="6">
        <v>17</v>
      </c>
      <c r="Q16" s="4" t="s">
        <v>26</v>
      </c>
      <c r="R16" s="4">
        <v>0</v>
      </c>
      <c r="S16" s="4">
        <v>0</v>
      </c>
      <c r="T16" s="4">
        <v>38</v>
      </c>
      <c r="U16" s="4">
        <v>32</v>
      </c>
      <c r="V16" s="6">
        <f>IF(ISERROR(VLOOKUP($S$16,'TAR FIN'!$A$1:$O$73,15,0)),0,VLOOKUP($S$16,'TAR FIN'!$A$1:$O$73,15,0))</f>
        <v>0</v>
      </c>
      <c r="W16" s="6">
        <f>IF(ISERROR(VLOOKUP($T$16,'TAR FIN'!$A$1:$O$73,15,0)),0,VLOOKUP($T$16,'TAR FIN'!$A$1:$O$73,15,0))</f>
        <v>176.61</v>
      </c>
      <c r="X16" s="6">
        <f>IF(ISERROR(VLOOKUP($U$16,'TAR FIN'!$A$1:$O$73,15,0)),0,VLOOKUP($U$16,'TAR FIN'!$A$1:$O$73,15,0))</f>
        <v>148.85</v>
      </c>
      <c r="Y16" s="6"/>
      <c r="Z16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16" s="6">
        <f>('TE BE'!$AB$12+'TE BF'!$AB$12+'TE CVA'!$AB$12)*(1-CUSTOS!$M$35)</f>
        <v>115.26041736909352</v>
      </c>
      <c r="AB16" s="6">
        <f t="shared" si="0"/>
        <v>0</v>
      </c>
      <c r="AC16" s="6">
        <f>(L16-M16)*(W16+X16)+($W$33+$X$33-$W$16-$X$16)*(L16)</f>
        <v>211.13127000000003</v>
      </c>
      <c r="AD16" s="6">
        <f t="shared" si="1"/>
        <v>0</v>
      </c>
      <c r="AE16" s="6">
        <f ca="1">(L16-M16)*(Z16+AA16)+($Z$33+$AA$33-$Z$16-$AA$16)*(L16)</f>
        <v>211.81475938254147</v>
      </c>
      <c r="AF16" s="4" t="s">
        <v>464</v>
      </c>
    </row>
    <row r="17" spans="1:32" ht="11.25" customHeight="1" x14ac:dyDescent="0.25">
      <c r="A17" s="4" t="s">
        <v>21</v>
      </c>
      <c r="B17" s="4" t="s">
        <v>22</v>
      </c>
      <c r="C17" s="4" t="s">
        <v>23</v>
      </c>
      <c r="D17" s="4" t="s">
        <v>24</v>
      </c>
      <c r="E17" s="4" t="s">
        <v>42</v>
      </c>
      <c r="F17" s="4" t="s">
        <v>25</v>
      </c>
      <c r="G17" s="4" t="s">
        <v>25</v>
      </c>
      <c r="H17" s="4" t="s">
        <v>25</v>
      </c>
      <c r="I17" s="5">
        <v>44713</v>
      </c>
      <c r="J17" s="6">
        <v>0</v>
      </c>
      <c r="K17" s="6">
        <v>0</v>
      </c>
      <c r="L17" s="6">
        <v>1.0389999999999999</v>
      </c>
      <c r="M17" s="6">
        <v>1.0389999999999999</v>
      </c>
      <c r="N17" s="6">
        <v>1.0389999999999999</v>
      </c>
      <c r="O17" s="6">
        <v>1.0389999999999999</v>
      </c>
      <c r="P17" s="6">
        <v>16</v>
      </c>
      <c r="Q17" s="4" t="s">
        <v>26</v>
      </c>
      <c r="R17" s="4">
        <v>0</v>
      </c>
      <c r="S17" s="4">
        <v>0</v>
      </c>
      <c r="T17" s="4">
        <v>38</v>
      </c>
      <c r="U17" s="4">
        <v>32</v>
      </c>
      <c r="V17" s="6">
        <f>IF(ISERROR(VLOOKUP($S$17,'TAR FIN'!$A$1:$O$73,15,0)),0,VLOOKUP($S$17,'TAR FIN'!$A$1:$O$73,15,0))</f>
        <v>0</v>
      </c>
      <c r="W17" s="6">
        <f>IF(ISERROR(VLOOKUP($T$17,'TAR FIN'!$A$1:$O$73,15,0)),0,VLOOKUP($T$17,'TAR FIN'!$A$1:$O$73,15,0))</f>
        <v>176.61</v>
      </c>
      <c r="X17" s="6">
        <f>IF(ISERROR(VLOOKUP($U$17,'TAR FIN'!$A$1:$O$73,15,0)),0,VLOOKUP($U$17,'TAR FIN'!$A$1:$O$73,15,0))</f>
        <v>148.85</v>
      </c>
      <c r="Y17" s="6"/>
      <c r="Z17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17" s="6">
        <f>('TE BE'!$AB$12+'TE BF'!$AB$12+'TE CVA'!$AB$12)*(1-CUSTOS!$M$35)</f>
        <v>115.26041736909352</v>
      </c>
      <c r="AB17" s="6">
        <f t="shared" si="0"/>
        <v>0</v>
      </c>
      <c r="AC17" s="6">
        <f>(L17-M17)*(W17+X17)+($W$33+$X$33-$W$17-$X$17)*(L17)</f>
        <v>225.45261000000002</v>
      </c>
      <c r="AD17" s="6">
        <f t="shared" si="1"/>
        <v>0</v>
      </c>
      <c r="AE17" s="6">
        <f ca="1">(L17-M17)*(Z17+AA17)+($Z$33+$AA$33-$Z$17-$AA$17)*(L17)</f>
        <v>226.18246145782177</v>
      </c>
      <c r="AF17" s="4" t="s">
        <v>464</v>
      </c>
    </row>
    <row r="18" spans="1:32" ht="11.25" customHeight="1" x14ac:dyDescent="0.25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42</v>
      </c>
      <c r="F18" s="4" t="s">
        <v>25</v>
      </c>
      <c r="G18" s="4" t="s">
        <v>25</v>
      </c>
      <c r="H18" s="4" t="s">
        <v>25</v>
      </c>
      <c r="I18" s="5">
        <v>44743</v>
      </c>
      <c r="J18" s="6">
        <v>0</v>
      </c>
      <c r="K18" s="6">
        <v>0</v>
      </c>
      <c r="L18" s="6">
        <v>1.1870000000000001</v>
      </c>
      <c r="M18" s="6">
        <v>1.1870000000000001</v>
      </c>
      <c r="N18" s="6">
        <v>1.1870000000000001</v>
      </c>
      <c r="O18" s="6">
        <v>1.1870000000000001</v>
      </c>
      <c r="P18" s="6">
        <v>18</v>
      </c>
      <c r="Q18" s="4" t="s">
        <v>26</v>
      </c>
      <c r="R18" s="4">
        <v>0</v>
      </c>
      <c r="S18" s="4">
        <v>0</v>
      </c>
      <c r="T18" s="4">
        <v>38</v>
      </c>
      <c r="U18" s="4">
        <v>32</v>
      </c>
      <c r="V18" s="6">
        <f>IF(ISERROR(VLOOKUP($S$18,'TAR FIN'!$A$1:$O$73,15,0)),0,VLOOKUP($S$18,'TAR FIN'!$A$1:$O$73,15,0))</f>
        <v>0</v>
      </c>
      <c r="W18" s="6">
        <f>IF(ISERROR(VLOOKUP($T$18,'TAR FIN'!$A$1:$O$73,15,0)),0,VLOOKUP($T$18,'TAR FIN'!$A$1:$O$73,15,0))</f>
        <v>176.61</v>
      </c>
      <c r="X18" s="6">
        <f>IF(ISERROR(VLOOKUP($U$18,'TAR FIN'!$A$1:$O$73,15,0)),0,VLOOKUP($U$18,'TAR FIN'!$A$1:$O$73,15,0))</f>
        <v>148.85</v>
      </c>
      <c r="Y18" s="6"/>
      <c r="Z18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18" s="6">
        <f>('TE BE'!$AB$12+'TE BF'!$AB$12+'TE CVA'!$AB$12)*(1-CUSTOS!$M$35)</f>
        <v>115.26041736909352</v>
      </c>
      <c r="AB18" s="6">
        <f t="shared" si="0"/>
        <v>0</v>
      </c>
      <c r="AC18" s="6">
        <f>(L18-M18)*(W18+X18)+($W$33+$X$33-$W$18-$X$18)*(L18)</f>
        <v>257.56713000000008</v>
      </c>
      <c r="AD18" s="6">
        <f t="shared" si="1"/>
        <v>0</v>
      </c>
      <c r="AE18" s="6">
        <f ca="1">(L18-M18)*(Z18+AA18)+($Z$33+$AA$33-$Z$18-$AA$18)*(L18)</f>
        <v>258.40094489935944</v>
      </c>
      <c r="AF18" s="4" t="s">
        <v>464</v>
      </c>
    </row>
    <row r="19" spans="1:32" ht="11.25" customHeight="1" x14ac:dyDescent="0.25">
      <c r="A19" s="4" t="s">
        <v>21</v>
      </c>
      <c r="B19" s="4" t="s">
        <v>22</v>
      </c>
      <c r="C19" s="4" t="s">
        <v>23</v>
      </c>
      <c r="D19" s="4" t="s">
        <v>24</v>
      </c>
      <c r="E19" s="4" t="s">
        <v>42</v>
      </c>
      <c r="F19" s="4" t="s">
        <v>25</v>
      </c>
      <c r="G19" s="4" t="s">
        <v>25</v>
      </c>
      <c r="H19" s="4" t="s">
        <v>25</v>
      </c>
      <c r="I19" s="5">
        <v>44774</v>
      </c>
      <c r="J19" s="6">
        <v>0</v>
      </c>
      <c r="K19" s="6">
        <v>0</v>
      </c>
      <c r="L19" s="6">
        <v>1.0620000000000001</v>
      </c>
      <c r="M19" s="6">
        <v>1.0620000000000001</v>
      </c>
      <c r="N19" s="6">
        <v>1.0620000000000001</v>
      </c>
      <c r="O19" s="6">
        <v>1.0620000000000001</v>
      </c>
      <c r="P19" s="6">
        <v>15</v>
      </c>
      <c r="Q19" s="4" t="s">
        <v>26</v>
      </c>
      <c r="R19" s="4">
        <v>0</v>
      </c>
      <c r="S19" s="4">
        <v>0</v>
      </c>
      <c r="T19" s="4">
        <v>38</v>
      </c>
      <c r="U19" s="4">
        <v>32</v>
      </c>
      <c r="V19" s="6">
        <f>IF(ISERROR(VLOOKUP($S$19,'TAR FIN'!$A$1:$O$73,15,0)),0,VLOOKUP($S$19,'TAR FIN'!$A$1:$O$73,15,0))</f>
        <v>0</v>
      </c>
      <c r="W19" s="6">
        <f>IF(ISERROR(VLOOKUP($T$19,'TAR FIN'!$A$1:$O$73,15,0)),0,VLOOKUP($T$19,'TAR FIN'!$A$1:$O$73,15,0))</f>
        <v>176.61</v>
      </c>
      <c r="X19" s="6">
        <f>IF(ISERROR(VLOOKUP($U$19,'TAR FIN'!$A$1:$O$73,15,0)),0,VLOOKUP($U$19,'TAR FIN'!$A$1:$O$73,15,0))</f>
        <v>148.85</v>
      </c>
      <c r="Y19" s="6"/>
      <c r="Z19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19" s="6">
        <f>('TE BE'!$AB$12+'TE BF'!$AB$12+'TE CVA'!$AB$12)*(1-CUSTOS!$M$35)</f>
        <v>115.26041736909352</v>
      </c>
      <c r="AB19" s="6">
        <f t="shared" si="0"/>
        <v>0</v>
      </c>
      <c r="AC19" s="6">
        <f>(L19-M19)*(W19+X19)+($W$33+$X$33-$W$19-$X$19)*(L19)</f>
        <v>230.44338000000005</v>
      </c>
      <c r="AD19" s="6">
        <f t="shared" si="1"/>
        <v>0</v>
      </c>
      <c r="AE19" s="6">
        <f ca="1">(L19-M19)*(Z19+AA19)+($Z$33+$AA$33-$Z$19-$AA$19)*(L19)</f>
        <v>231.1893879386013</v>
      </c>
      <c r="AF19" s="4" t="s">
        <v>464</v>
      </c>
    </row>
    <row r="20" spans="1:32" ht="11.25" customHeight="1" x14ac:dyDescent="0.25">
      <c r="A20" s="4" t="s">
        <v>21</v>
      </c>
      <c r="B20" s="4" t="s">
        <v>22</v>
      </c>
      <c r="C20" s="4" t="s">
        <v>23</v>
      </c>
      <c r="D20" s="4" t="s">
        <v>24</v>
      </c>
      <c r="E20" s="4" t="s">
        <v>42</v>
      </c>
      <c r="F20" s="4" t="s">
        <v>25</v>
      </c>
      <c r="G20" s="4" t="s">
        <v>25</v>
      </c>
      <c r="H20" s="4" t="s">
        <v>25</v>
      </c>
      <c r="I20" s="5">
        <v>44805</v>
      </c>
      <c r="J20" s="6">
        <v>0</v>
      </c>
      <c r="K20" s="6">
        <v>0</v>
      </c>
      <c r="L20" s="6">
        <v>0.99</v>
      </c>
      <c r="M20" s="6">
        <v>0.99</v>
      </c>
      <c r="N20" s="6">
        <v>0.99</v>
      </c>
      <c r="O20" s="6">
        <v>0.99</v>
      </c>
      <c r="P20" s="6">
        <v>14</v>
      </c>
      <c r="Q20" s="4" t="s">
        <v>26</v>
      </c>
      <c r="R20" s="4">
        <v>0</v>
      </c>
      <c r="S20" s="4">
        <v>0</v>
      </c>
      <c r="T20" s="4">
        <v>38</v>
      </c>
      <c r="U20" s="4">
        <v>32</v>
      </c>
      <c r="V20" s="6">
        <f>IF(ISERROR(VLOOKUP($S$20,'TAR FIN'!$A$1:$O$73,15,0)),0,VLOOKUP($S$20,'TAR FIN'!$A$1:$O$73,15,0))</f>
        <v>0</v>
      </c>
      <c r="W20" s="6">
        <f>IF(ISERROR(VLOOKUP($T$20,'TAR FIN'!$A$1:$O$73,15,0)),0,VLOOKUP($T$20,'TAR FIN'!$A$1:$O$73,15,0))</f>
        <v>176.61</v>
      </c>
      <c r="X20" s="6">
        <f>IF(ISERROR(VLOOKUP($U$20,'TAR FIN'!$A$1:$O$73,15,0)),0,VLOOKUP($U$20,'TAR FIN'!$A$1:$O$73,15,0))</f>
        <v>148.85</v>
      </c>
      <c r="Y20" s="6"/>
      <c r="Z20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20" s="6">
        <f>('TE BE'!$AB$12+'TE BF'!$AB$12+'TE CVA'!$AB$12)*(1-CUSTOS!$M$35)</f>
        <v>115.26041736909352</v>
      </c>
      <c r="AB20" s="6">
        <f t="shared" si="0"/>
        <v>0</v>
      </c>
      <c r="AC20" s="6">
        <f>(L20-M20)*(W20+X20)+($W$33+$X$33-$W$20-$X$20)*(L20)</f>
        <v>214.82010000000002</v>
      </c>
      <c r="AD20" s="6">
        <f t="shared" si="1"/>
        <v>0</v>
      </c>
      <c r="AE20" s="6">
        <f ca="1">(L20-M20)*(Z20+AA20)+($Z$33+$AA$33-$Z$20-$AA$20)*(L20)</f>
        <v>215.51553112920459</v>
      </c>
      <c r="AF20" s="4" t="s">
        <v>464</v>
      </c>
    </row>
    <row r="21" spans="1:32" ht="11.25" customHeight="1" x14ac:dyDescent="0.25">
      <c r="A21" s="4" t="s">
        <v>21</v>
      </c>
      <c r="B21" s="4" t="s">
        <v>22</v>
      </c>
      <c r="C21" s="4" t="s">
        <v>23</v>
      </c>
      <c r="D21" s="4" t="s">
        <v>24</v>
      </c>
      <c r="E21" s="4" t="s">
        <v>42</v>
      </c>
      <c r="F21" s="4" t="s">
        <v>25</v>
      </c>
      <c r="G21" s="4" t="s">
        <v>25</v>
      </c>
      <c r="H21" s="4" t="s">
        <v>25</v>
      </c>
      <c r="I21" s="5">
        <v>44835</v>
      </c>
      <c r="J21" s="6">
        <v>0</v>
      </c>
      <c r="K21" s="6">
        <v>0</v>
      </c>
      <c r="L21" s="6">
        <v>0.92300000000000004</v>
      </c>
      <c r="M21" s="6">
        <v>0.92300000000000004</v>
      </c>
      <c r="N21" s="6">
        <v>0.92300000000000004</v>
      </c>
      <c r="O21" s="6">
        <v>0.92300000000000004</v>
      </c>
      <c r="P21" s="6">
        <v>13</v>
      </c>
      <c r="Q21" s="4" t="s">
        <v>26</v>
      </c>
      <c r="R21" s="4">
        <v>0</v>
      </c>
      <c r="S21" s="4">
        <v>0</v>
      </c>
      <c r="T21" s="4">
        <v>38</v>
      </c>
      <c r="U21" s="4">
        <v>32</v>
      </c>
      <c r="V21" s="6">
        <f>IF(ISERROR(VLOOKUP($S$21,'TAR FIN'!$A$1:$O$73,15,0)),0,VLOOKUP($S$21,'TAR FIN'!$A$1:$O$73,15,0))</f>
        <v>0</v>
      </c>
      <c r="W21" s="6">
        <f>IF(ISERROR(VLOOKUP($T$21,'TAR FIN'!$A$1:$O$73,15,0)),0,VLOOKUP($T$21,'TAR FIN'!$A$1:$O$73,15,0))</f>
        <v>176.61</v>
      </c>
      <c r="X21" s="6">
        <f>IF(ISERROR(VLOOKUP($U$21,'TAR FIN'!$A$1:$O$73,15,0)),0,VLOOKUP($U$21,'TAR FIN'!$A$1:$O$73,15,0))</f>
        <v>148.85</v>
      </c>
      <c r="Y21" s="6"/>
      <c r="Z21" s="6">
        <f ca="1">('TUSD BE'!$AM$22+'TUSD BF'!$AM$22+'TUSD CVA'!$AM$22-('TUSD BE'!$P$22+'TUSD BF'!$P$22+'TUSD CVA'!$P$22)-('TUSD BE'!$Q$22+'TUSD BF'!$Q$22+'TUSD CVA'!$Q$22)-('TUSD BE'!$R$22+'TUSD BF'!$R$22+'TUSD CVA'!$R$22))*(1-CUSTOS!$M$35)</f>
        <v>211.27826616000445</v>
      </c>
      <c r="AA21" s="6">
        <f>('TE BE'!$AB$12+'TE BF'!$AB$12+'TE CVA'!$AB$12)*(1-CUSTOS!$M$35)</f>
        <v>115.26041736909352</v>
      </c>
      <c r="AB21" s="6">
        <f t="shared" si="0"/>
        <v>0</v>
      </c>
      <c r="AC21" s="6">
        <f>(L21-M21)*(W21+X21)+($W$33+$X$33-$W$21-$X$21)*(L21)</f>
        <v>200.28177000000005</v>
      </c>
      <c r="AD21" s="6">
        <f t="shared" si="1"/>
        <v>0</v>
      </c>
      <c r="AE21" s="6">
        <f ca="1">(L21-M21)*(Z21+AA21)+($Z$33+$AA$33-$Z$21-$AA$21)*(L21)</f>
        <v>200.93013659823822</v>
      </c>
      <c r="AF21" s="4" t="s">
        <v>464</v>
      </c>
    </row>
    <row r="22" spans="1:32" ht="11.25" customHeight="1" x14ac:dyDescent="0.25">
      <c r="A22" s="4" t="s">
        <v>21</v>
      </c>
      <c r="B22" s="4" t="s">
        <v>22</v>
      </c>
      <c r="C22" s="4" t="s">
        <v>23</v>
      </c>
      <c r="D22" s="4" t="s">
        <v>24</v>
      </c>
      <c r="E22" s="4" t="s">
        <v>39</v>
      </c>
      <c r="F22" s="4" t="s">
        <v>25</v>
      </c>
      <c r="G22" s="4" t="s">
        <v>25</v>
      </c>
      <c r="H22" s="4" t="s">
        <v>25</v>
      </c>
      <c r="I22" s="5">
        <v>44531</v>
      </c>
      <c r="J22" s="6">
        <v>0</v>
      </c>
      <c r="K22" s="6">
        <v>0</v>
      </c>
      <c r="L22" s="6">
        <v>0.55300000000000005</v>
      </c>
      <c r="M22" s="6">
        <v>0.55300000000000005</v>
      </c>
      <c r="N22" s="6">
        <v>0.55300000000000005</v>
      </c>
      <c r="O22" s="6">
        <v>0.55300000000000005</v>
      </c>
      <c r="P22" s="6">
        <v>3</v>
      </c>
      <c r="Q22" s="4" t="s">
        <v>26</v>
      </c>
      <c r="R22" s="4">
        <v>0</v>
      </c>
      <c r="S22" s="4">
        <v>0</v>
      </c>
      <c r="T22" s="4">
        <v>5</v>
      </c>
      <c r="U22" s="4">
        <v>23</v>
      </c>
      <c r="V22" s="6">
        <f>IF(ISERROR(VLOOKUP($S$22,'TAR FIN'!$A$1:$O$73,15,0)),0,VLOOKUP($S$22,'TAR FIN'!$A$1:$O$73,15,0))</f>
        <v>0</v>
      </c>
      <c r="W22" s="6">
        <f>IF(ISERROR(VLOOKUP($T$22,'TAR FIN'!$A$1:$O$73,15,0)),0,VLOOKUP($T$22,'TAR FIN'!$A$1:$O$73,15,0))</f>
        <v>264.92</v>
      </c>
      <c r="X22" s="6">
        <f>IF(ISERROR(VLOOKUP($U$22,'TAR FIN'!$A$1:$O$73,15,0)),0,VLOOKUP($U$22,'TAR FIN'!$A$1:$O$73,15,0))</f>
        <v>223.28</v>
      </c>
      <c r="Y22" s="6"/>
      <c r="Z22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22" s="6">
        <f>('TE BE'!$AB$13+'TE BF'!$AB$13+'TE CVA'!$AB$13)*(1-CUSTOS!$M$36)</f>
        <v>172.89062605364029</v>
      </c>
      <c r="AB22" s="6">
        <f t="shared" si="0"/>
        <v>0</v>
      </c>
      <c r="AC22" s="6">
        <f>(L22-M22)*(W22+X22)+($W$33+$X$33-$W$22-$X$22)*(L22)</f>
        <v>30.000250000000019</v>
      </c>
      <c r="AD22" s="6">
        <f t="shared" si="1"/>
        <v>0</v>
      </c>
      <c r="AE22" s="6">
        <f ca="1">(L22-M22)*(Z22+AA22)+($Z$33+$AA$33-$Z$22-$AA$22)*(L22)</f>
        <v>30.095981998598479</v>
      </c>
      <c r="AF22" s="4" t="s">
        <v>464</v>
      </c>
    </row>
    <row r="23" spans="1:32" ht="11.25" customHeight="1" x14ac:dyDescent="0.25">
      <c r="A23" s="4" t="s">
        <v>21</v>
      </c>
      <c r="B23" s="4" t="s">
        <v>22</v>
      </c>
      <c r="C23" s="4" t="s">
        <v>23</v>
      </c>
      <c r="D23" s="4" t="s">
        <v>24</v>
      </c>
      <c r="E23" s="4" t="s">
        <v>39</v>
      </c>
      <c r="F23" s="4" t="s">
        <v>25</v>
      </c>
      <c r="G23" s="4" t="s">
        <v>25</v>
      </c>
      <c r="H23" s="4" t="s">
        <v>25</v>
      </c>
      <c r="I23" s="5">
        <v>44562</v>
      </c>
      <c r="J23" s="6">
        <v>0</v>
      </c>
      <c r="K23" s="6">
        <v>0</v>
      </c>
      <c r="L23" s="6">
        <v>0.495</v>
      </c>
      <c r="M23" s="6">
        <v>0.495</v>
      </c>
      <c r="N23" s="6">
        <v>0.495</v>
      </c>
      <c r="O23" s="6">
        <v>0.495</v>
      </c>
      <c r="P23" s="6">
        <v>3</v>
      </c>
      <c r="Q23" s="4" t="s">
        <v>26</v>
      </c>
      <c r="R23" s="4">
        <v>0</v>
      </c>
      <c r="S23" s="4">
        <v>0</v>
      </c>
      <c r="T23" s="4">
        <v>5</v>
      </c>
      <c r="U23" s="4">
        <v>23</v>
      </c>
      <c r="V23" s="6">
        <f>IF(ISERROR(VLOOKUP($S$23,'TAR FIN'!$A$1:$O$73,15,0)),0,VLOOKUP($S$23,'TAR FIN'!$A$1:$O$73,15,0))</f>
        <v>0</v>
      </c>
      <c r="W23" s="6">
        <f>IF(ISERROR(VLOOKUP($T$23,'TAR FIN'!$A$1:$O$73,15,0)),0,VLOOKUP($T$23,'TAR FIN'!$A$1:$O$73,15,0))</f>
        <v>264.92</v>
      </c>
      <c r="X23" s="6">
        <f>IF(ISERROR(VLOOKUP($U$23,'TAR FIN'!$A$1:$O$73,15,0)),0,VLOOKUP($U$23,'TAR FIN'!$A$1:$O$73,15,0))</f>
        <v>223.28</v>
      </c>
      <c r="Y23" s="6"/>
      <c r="Z23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23" s="6">
        <f>('TE BE'!$AB$13+'TE BF'!$AB$13+'TE CVA'!$AB$13)*(1-CUSTOS!$M$36)</f>
        <v>172.89062605364029</v>
      </c>
      <c r="AB23" s="6">
        <f t="shared" si="0"/>
        <v>0</v>
      </c>
      <c r="AC23" s="6">
        <f>(L23-M23)*(W23+X23)+($W$33+$X$33-$W$23-$X$23)*(L23)</f>
        <v>26.853750000000012</v>
      </c>
      <c r="AD23" s="6">
        <f t="shared" si="1"/>
        <v>0</v>
      </c>
      <c r="AE23" s="6">
        <f ca="1">(L23-M23)*(Z23+AA23)+($Z$33+$AA$33-$Z$23-$AA$23)*(L23)</f>
        <v>26.939441391150535</v>
      </c>
      <c r="AF23" s="4" t="s">
        <v>464</v>
      </c>
    </row>
    <row r="24" spans="1:32" ht="11.25" customHeight="1" x14ac:dyDescent="0.25">
      <c r="A24" s="4" t="s">
        <v>21</v>
      </c>
      <c r="B24" s="4" t="s">
        <v>22</v>
      </c>
      <c r="C24" s="4" t="s">
        <v>23</v>
      </c>
      <c r="D24" s="4" t="s">
        <v>24</v>
      </c>
      <c r="E24" s="4" t="s">
        <v>39</v>
      </c>
      <c r="F24" s="4" t="s">
        <v>25</v>
      </c>
      <c r="G24" s="4" t="s">
        <v>25</v>
      </c>
      <c r="H24" s="4" t="s">
        <v>25</v>
      </c>
      <c r="I24" s="5">
        <v>44593</v>
      </c>
      <c r="J24" s="6">
        <v>0</v>
      </c>
      <c r="K24" s="6">
        <v>0</v>
      </c>
      <c r="L24" s="6">
        <v>0.49099999999999999</v>
      </c>
      <c r="M24" s="6">
        <v>0.49099999999999999</v>
      </c>
      <c r="N24" s="6">
        <v>0.49099999999999999</v>
      </c>
      <c r="O24" s="6">
        <v>0.49099999999999999</v>
      </c>
      <c r="P24" s="6">
        <v>3</v>
      </c>
      <c r="Q24" s="4" t="s">
        <v>26</v>
      </c>
      <c r="R24" s="4">
        <v>0</v>
      </c>
      <c r="S24" s="4">
        <v>0</v>
      </c>
      <c r="T24" s="4">
        <v>5</v>
      </c>
      <c r="U24" s="4">
        <v>23</v>
      </c>
      <c r="V24" s="6">
        <f>IF(ISERROR(VLOOKUP($S$24,'TAR FIN'!$A$1:$O$73,15,0)),0,VLOOKUP($S$24,'TAR FIN'!$A$1:$O$73,15,0))</f>
        <v>0</v>
      </c>
      <c r="W24" s="6">
        <f>IF(ISERROR(VLOOKUP($T$24,'TAR FIN'!$A$1:$O$73,15,0)),0,VLOOKUP($T$24,'TAR FIN'!$A$1:$O$73,15,0))</f>
        <v>264.92</v>
      </c>
      <c r="X24" s="6">
        <f>IF(ISERROR(VLOOKUP($U$24,'TAR FIN'!$A$1:$O$73,15,0)),0,VLOOKUP($U$24,'TAR FIN'!$A$1:$O$73,15,0))</f>
        <v>223.28</v>
      </c>
      <c r="Y24" s="6"/>
      <c r="Z24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24" s="6">
        <f>('TE BE'!$AB$13+'TE BF'!$AB$13+'TE CVA'!$AB$13)*(1-CUSTOS!$M$36)</f>
        <v>172.89062605364029</v>
      </c>
      <c r="AB24" s="6">
        <f t="shared" si="0"/>
        <v>0</v>
      </c>
      <c r="AC24" s="6">
        <f>(L24-M24)*(W24+X24)+($W$33+$X$33-$W$24-$X$24)*(L24)</f>
        <v>26.636750000000013</v>
      </c>
      <c r="AD24" s="6">
        <f t="shared" si="1"/>
        <v>0</v>
      </c>
      <c r="AE24" s="6">
        <f ca="1">(L24-M24)*(Z24+AA24)+($Z$33+$AA$33-$Z$24-$AA$24)*(L24)</f>
        <v>26.721748935464468</v>
      </c>
      <c r="AF24" s="4" t="s">
        <v>464</v>
      </c>
    </row>
    <row r="25" spans="1:32" ht="11.25" customHeight="1" x14ac:dyDescent="0.25">
      <c r="A25" s="4" t="s">
        <v>21</v>
      </c>
      <c r="B25" s="4" t="s">
        <v>22</v>
      </c>
      <c r="C25" s="4" t="s">
        <v>23</v>
      </c>
      <c r="D25" s="4" t="s">
        <v>24</v>
      </c>
      <c r="E25" s="4" t="s">
        <v>39</v>
      </c>
      <c r="F25" s="4" t="s">
        <v>25</v>
      </c>
      <c r="G25" s="4" t="s">
        <v>25</v>
      </c>
      <c r="H25" s="4" t="s">
        <v>25</v>
      </c>
      <c r="I25" s="5">
        <v>44621</v>
      </c>
      <c r="J25" s="6">
        <v>0</v>
      </c>
      <c r="K25" s="6">
        <v>0</v>
      </c>
      <c r="L25" s="6">
        <v>3.1960000000000002</v>
      </c>
      <c r="M25" s="6">
        <v>3.1960000000000002</v>
      </c>
      <c r="N25" s="6">
        <v>3.1960000000000002</v>
      </c>
      <c r="O25" s="6">
        <v>3.1960000000000002</v>
      </c>
      <c r="P25" s="6">
        <v>19</v>
      </c>
      <c r="Q25" s="4" t="s">
        <v>26</v>
      </c>
      <c r="R25" s="4">
        <v>0</v>
      </c>
      <c r="S25" s="4">
        <v>0</v>
      </c>
      <c r="T25" s="4">
        <v>5</v>
      </c>
      <c r="U25" s="4">
        <v>23</v>
      </c>
      <c r="V25" s="6">
        <f>IF(ISERROR(VLOOKUP($S$25,'TAR FIN'!$A$1:$O$73,15,0)),0,VLOOKUP($S$25,'TAR FIN'!$A$1:$O$73,15,0))</f>
        <v>0</v>
      </c>
      <c r="W25" s="6">
        <f>IF(ISERROR(VLOOKUP($T$25,'TAR FIN'!$A$1:$O$73,15,0)),0,VLOOKUP($T$25,'TAR FIN'!$A$1:$O$73,15,0))</f>
        <v>264.92</v>
      </c>
      <c r="X25" s="6">
        <f>IF(ISERROR(VLOOKUP($U$25,'TAR FIN'!$A$1:$O$73,15,0)),0,VLOOKUP($U$25,'TAR FIN'!$A$1:$O$73,15,0))</f>
        <v>223.28</v>
      </c>
      <c r="Y25" s="6"/>
      <c r="Z25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25" s="6">
        <f>('TE BE'!$AB$13+'TE BF'!$AB$13+'TE CVA'!$AB$13)*(1-CUSTOS!$M$36)</f>
        <v>172.89062605364029</v>
      </c>
      <c r="AB25" s="6">
        <f t="shared" si="0"/>
        <v>0</v>
      </c>
      <c r="AC25" s="6">
        <f>(L25-M25)*(W25+X25)+($W$33+$X$33-$W$25-$X$25)*(L25)</f>
        <v>173.3830000000001</v>
      </c>
      <c r="AD25" s="6">
        <f t="shared" si="1"/>
        <v>0</v>
      </c>
      <c r="AE25" s="6">
        <f ca="1">(L25-M25)*(Z25+AA25)+($Z$33+$AA$33-$Z$25-$AA$25)*(L25)</f>
        <v>173.93627209316588</v>
      </c>
      <c r="AF25" s="4" t="s">
        <v>464</v>
      </c>
    </row>
    <row r="26" spans="1:32" ht="11.25" customHeight="1" x14ac:dyDescent="0.25">
      <c r="A26" s="4" t="s">
        <v>21</v>
      </c>
      <c r="B26" s="4" t="s">
        <v>22</v>
      </c>
      <c r="C26" s="4" t="s">
        <v>23</v>
      </c>
      <c r="D26" s="4" t="s">
        <v>24</v>
      </c>
      <c r="E26" s="4" t="s">
        <v>39</v>
      </c>
      <c r="F26" s="4" t="s">
        <v>25</v>
      </c>
      <c r="G26" s="4" t="s">
        <v>25</v>
      </c>
      <c r="H26" s="4" t="s">
        <v>25</v>
      </c>
      <c r="I26" s="5">
        <v>44652</v>
      </c>
      <c r="J26" s="6">
        <v>0</v>
      </c>
      <c r="K26" s="6">
        <v>0</v>
      </c>
      <c r="L26" s="6">
        <v>10.061</v>
      </c>
      <c r="M26" s="6">
        <v>10.061</v>
      </c>
      <c r="N26" s="6">
        <v>10.061</v>
      </c>
      <c r="O26" s="6">
        <v>10.061</v>
      </c>
      <c r="P26" s="6">
        <v>62</v>
      </c>
      <c r="Q26" s="4" t="s">
        <v>26</v>
      </c>
      <c r="R26" s="4">
        <v>0</v>
      </c>
      <c r="S26" s="4">
        <v>0</v>
      </c>
      <c r="T26" s="4">
        <v>5</v>
      </c>
      <c r="U26" s="4">
        <v>23</v>
      </c>
      <c r="V26" s="6">
        <f>IF(ISERROR(VLOOKUP($S$26,'TAR FIN'!$A$1:$O$73,15,0)),0,VLOOKUP($S$26,'TAR FIN'!$A$1:$O$73,15,0))</f>
        <v>0</v>
      </c>
      <c r="W26" s="6">
        <f>IF(ISERROR(VLOOKUP($T$26,'TAR FIN'!$A$1:$O$73,15,0)),0,VLOOKUP($T$26,'TAR FIN'!$A$1:$O$73,15,0))</f>
        <v>264.92</v>
      </c>
      <c r="X26" s="6">
        <f>IF(ISERROR(VLOOKUP($U$26,'TAR FIN'!$A$1:$O$73,15,0)),0,VLOOKUP($U$26,'TAR FIN'!$A$1:$O$73,15,0))</f>
        <v>223.28</v>
      </c>
      <c r="Y26" s="6"/>
      <c r="Z26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26" s="6">
        <f>('TE BE'!$AB$13+'TE BF'!$AB$13+'TE CVA'!$AB$13)*(1-CUSTOS!$M$36)</f>
        <v>172.89062605364029</v>
      </c>
      <c r="AB26" s="6">
        <f t="shared" si="0"/>
        <v>0</v>
      </c>
      <c r="AC26" s="6">
        <f>(L26-M26)*(W26+X26)+($W$33+$X$33-$W$26-$X$26)*(L26)</f>
        <v>545.80925000000025</v>
      </c>
      <c r="AD26" s="6">
        <f t="shared" si="1"/>
        <v>0</v>
      </c>
      <c r="AE26" s="6">
        <f ca="1">(L26-M26)*(Z26+AA26)+($Z$33+$AA$33-$Z$26-$AA$26)*(L26)</f>
        <v>547.55094916437486</v>
      </c>
      <c r="AF26" s="4" t="s">
        <v>464</v>
      </c>
    </row>
    <row r="27" spans="1:32" ht="11.25" customHeight="1" x14ac:dyDescent="0.25">
      <c r="A27" s="4" t="s">
        <v>21</v>
      </c>
      <c r="B27" s="4" t="s">
        <v>22</v>
      </c>
      <c r="C27" s="4" t="s">
        <v>23</v>
      </c>
      <c r="D27" s="4" t="s">
        <v>24</v>
      </c>
      <c r="E27" s="4" t="s">
        <v>39</v>
      </c>
      <c r="F27" s="4" t="s">
        <v>25</v>
      </c>
      <c r="G27" s="4" t="s">
        <v>25</v>
      </c>
      <c r="H27" s="4" t="s">
        <v>25</v>
      </c>
      <c r="I27" s="5">
        <v>44682</v>
      </c>
      <c r="J27" s="6">
        <v>0</v>
      </c>
      <c r="K27" s="6">
        <v>0</v>
      </c>
      <c r="L27" s="6">
        <v>11.696</v>
      </c>
      <c r="M27" s="6">
        <v>11.696</v>
      </c>
      <c r="N27" s="6">
        <v>11.696</v>
      </c>
      <c r="O27" s="6">
        <v>11.696</v>
      </c>
      <c r="P27" s="6">
        <v>73</v>
      </c>
      <c r="Q27" s="4" t="s">
        <v>26</v>
      </c>
      <c r="R27" s="4">
        <v>0</v>
      </c>
      <c r="S27" s="4">
        <v>0</v>
      </c>
      <c r="T27" s="4">
        <v>5</v>
      </c>
      <c r="U27" s="4">
        <v>23</v>
      </c>
      <c r="V27" s="6">
        <f>IF(ISERROR(VLOOKUP($S$27,'TAR FIN'!$A$1:$O$73,15,0)),0,VLOOKUP($S$27,'TAR FIN'!$A$1:$O$73,15,0))</f>
        <v>0</v>
      </c>
      <c r="W27" s="6">
        <f>IF(ISERROR(VLOOKUP($T$27,'TAR FIN'!$A$1:$O$73,15,0)),0,VLOOKUP($T$27,'TAR FIN'!$A$1:$O$73,15,0))</f>
        <v>264.92</v>
      </c>
      <c r="X27" s="6">
        <f>IF(ISERROR(VLOOKUP($U$27,'TAR FIN'!$A$1:$O$73,15,0)),0,VLOOKUP($U$27,'TAR FIN'!$A$1:$O$73,15,0))</f>
        <v>223.28</v>
      </c>
      <c r="Y27" s="6"/>
      <c r="Z27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27" s="6">
        <f>('TE BE'!$AB$13+'TE BF'!$AB$13+'TE CVA'!$AB$13)*(1-CUSTOS!$M$36)</f>
        <v>172.89062605364029</v>
      </c>
      <c r="AB27" s="6">
        <f t="shared" si="0"/>
        <v>0</v>
      </c>
      <c r="AC27" s="6">
        <f>(L27-M27)*(W27+X27)+($W$33+$X$33-$W$27-$X$27)*(L27)</f>
        <v>634.50800000000027</v>
      </c>
      <c r="AD27" s="6">
        <f t="shared" si="1"/>
        <v>0</v>
      </c>
      <c r="AE27" s="6">
        <f ca="1">(L27-M27)*(Z27+AA27)+($Z$33+$AA$33-$Z$27-$AA$27)*(L27)</f>
        <v>636.53274042605381</v>
      </c>
      <c r="AF27" s="4" t="s">
        <v>464</v>
      </c>
    </row>
    <row r="28" spans="1:32" ht="11.25" customHeight="1" x14ac:dyDescent="0.25">
      <c r="A28" s="4" t="s">
        <v>21</v>
      </c>
      <c r="B28" s="4" t="s">
        <v>22</v>
      </c>
      <c r="C28" s="4" t="s">
        <v>23</v>
      </c>
      <c r="D28" s="4" t="s">
        <v>24</v>
      </c>
      <c r="E28" s="4" t="s">
        <v>39</v>
      </c>
      <c r="F28" s="4" t="s">
        <v>25</v>
      </c>
      <c r="G28" s="4" t="s">
        <v>25</v>
      </c>
      <c r="H28" s="4" t="s">
        <v>25</v>
      </c>
      <c r="I28" s="5">
        <v>44713</v>
      </c>
      <c r="J28" s="6">
        <v>0</v>
      </c>
      <c r="K28" s="6">
        <v>0</v>
      </c>
      <c r="L28" s="6">
        <v>10.15</v>
      </c>
      <c r="M28" s="6">
        <v>10.15</v>
      </c>
      <c r="N28" s="6">
        <v>10.15</v>
      </c>
      <c r="O28" s="6">
        <v>10.15</v>
      </c>
      <c r="P28" s="6">
        <v>62</v>
      </c>
      <c r="Q28" s="4" t="s">
        <v>26</v>
      </c>
      <c r="R28" s="4">
        <v>0</v>
      </c>
      <c r="S28" s="4">
        <v>0</v>
      </c>
      <c r="T28" s="4">
        <v>5</v>
      </c>
      <c r="U28" s="4">
        <v>23</v>
      </c>
      <c r="V28" s="6">
        <f>IF(ISERROR(VLOOKUP($S$28,'TAR FIN'!$A$1:$O$73,15,0)),0,VLOOKUP($S$28,'TAR FIN'!$A$1:$O$73,15,0))</f>
        <v>0</v>
      </c>
      <c r="W28" s="6">
        <f>IF(ISERROR(VLOOKUP($T$28,'TAR FIN'!$A$1:$O$73,15,0)),0,VLOOKUP($T$28,'TAR FIN'!$A$1:$O$73,15,0))</f>
        <v>264.92</v>
      </c>
      <c r="X28" s="6">
        <f>IF(ISERROR(VLOOKUP($U$28,'TAR FIN'!$A$1:$O$73,15,0)),0,VLOOKUP($U$28,'TAR FIN'!$A$1:$O$73,15,0))</f>
        <v>223.28</v>
      </c>
      <c r="Y28" s="6"/>
      <c r="Z28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28" s="6">
        <f>('TE BE'!$AB$13+'TE BF'!$AB$13+'TE CVA'!$AB$13)*(1-CUSTOS!$M$36)</f>
        <v>172.89062605364029</v>
      </c>
      <c r="AB28" s="6">
        <f t="shared" si="0"/>
        <v>0</v>
      </c>
      <c r="AC28" s="6">
        <f>(L28-M28)*(W28+X28)+($W$33+$X$33-$W$28-$X$28)*(L28)</f>
        <v>550.63750000000027</v>
      </c>
      <c r="AD28" s="6">
        <f t="shared" si="1"/>
        <v>0</v>
      </c>
      <c r="AE28" s="6">
        <f ca="1">(L28-M28)*(Z28+AA28)+($Z$33+$AA$33-$Z$28-$AA$28)*(L28)</f>
        <v>552.39460630338976</v>
      </c>
      <c r="AF28" s="4" t="s">
        <v>464</v>
      </c>
    </row>
    <row r="29" spans="1:32" ht="11.25" customHeight="1" x14ac:dyDescent="0.25">
      <c r="A29" s="4" t="s">
        <v>21</v>
      </c>
      <c r="B29" s="4" t="s">
        <v>22</v>
      </c>
      <c r="C29" s="4" t="s">
        <v>23</v>
      </c>
      <c r="D29" s="4" t="s">
        <v>24</v>
      </c>
      <c r="E29" s="4" t="s">
        <v>39</v>
      </c>
      <c r="F29" s="4" t="s">
        <v>25</v>
      </c>
      <c r="G29" s="4" t="s">
        <v>25</v>
      </c>
      <c r="H29" s="4" t="s">
        <v>25</v>
      </c>
      <c r="I29" s="5">
        <v>44743</v>
      </c>
      <c r="J29" s="6">
        <v>0</v>
      </c>
      <c r="K29" s="6">
        <v>0</v>
      </c>
      <c r="L29" s="6">
        <v>10.058</v>
      </c>
      <c r="M29" s="6">
        <v>10.058</v>
      </c>
      <c r="N29" s="6">
        <v>10.058</v>
      </c>
      <c r="O29" s="6">
        <v>10.058</v>
      </c>
      <c r="P29" s="6">
        <v>61</v>
      </c>
      <c r="Q29" s="4" t="s">
        <v>26</v>
      </c>
      <c r="R29" s="4">
        <v>0</v>
      </c>
      <c r="S29" s="4">
        <v>0</v>
      </c>
      <c r="T29" s="4">
        <v>5</v>
      </c>
      <c r="U29" s="4">
        <v>23</v>
      </c>
      <c r="V29" s="6">
        <f>IF(ISERROR(VLOOKUP($S$29,'TAR FIN'!$A$1:$O$73,15,0)),0,VLOOKUP($S$29,'TAR FIN'!$A$1:$O$73,15,0))</f>
        <v>0</v>
      </c>
      <c r="W29" s="6">
        <f>IF(ISERROR(VLOOKUP($T$29,'TAR FIN'!$A$1:$O$73,15,0)),0,VLOOKUP($T$29,'TAR FIN'!$A$1:$O$73,15,0))</f>
        <v>264.92</v>
      </c>
      <c r="X29" s="6">
        <f>IF(ISERROR(VLOOKUP($U$29,'TAR FIN'!$A$1:$O$73,15,0)),0,VLOOKUP($U$29,'TAR FIN'!$A$1:$O$73,15,0))</f>
        <v>223.28</v>
      </c>
      <c r="Y29" s="6"/>
      <c r="Z29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29" s="6">
        <f>('TE BE'!$AB$13+'TE BF'!$AB$13+'TE CVA'!$AB$13)*(1-CUSTOS!$M$36)</f>
        <v>172.89062605364029</v>
      </c>
      <c r="AB29" s="6">
        <f t="shared" si="0"/>
        <v>0</v>
      </c>
      <c r="AC29" s="6">
        <f>(L29-M29)*(W29+X29)+($W$33+$X$33-$W$29-$X$29)*(L29)</f>
        <v>545.64650000000029</v>
      </c>
      <c r="AD29" s="6">
        <f t="shared" si="1"/>
        <v>0</v>
      </c>
      <c r="AE29" s="6">
        <f ca="1">(L29-M29)*(Z29+AA29)+($Z$33+$AA$33-$Z$29-$AA$29)*(L29)</f>
        <v>547.38767982261027</v>
      </c>
      <c r="AF29" s="4" t="s">
        <v>464</v>
      </c>
    </row>
    <row r="30" spans="1:32" ht="11.25" customHeight="1" x14ac:dyDescent="0.25">
      <c r="A30" s="4" t="s">
        <v>21</v>
      </c>
      <c r="B30" s="4" t="s">
        <v>22</v>
      </c>
      <c r="C30" s="4" t="s">
        <v>23</v>
      </c>
      <c r="D30" s="4" t="s">
        <v>24</v>
      </c>
      <c r="E30" s="4" t="s">
        <v>39</v>
      </c>
      <c r="F30" s="4" t="s">
        <v>25</v>
      </c>
      <c r="G30" s="4" t="s">
        <v>25</v>
      </c>
      <c r="H30" s="4" t="s">
        <v>25</v>
      </c>
      <c r="I30" s="5">
        <v>44774</v>
      </c>
      <c r="J30" s="6">
        <v>0</v>
      </c>
      <c r="K30" s="6">
        <v>0</v>
      </c>
      <c r="L30" s="6">
        <v>9.83</v>
      </c>
      <c r="M30" s="6">
        <v>9.83</v>
      </c>
      <c r="N30" s="6">
        <v>9.83</v>
      </c>
      <c r="O30" s="6">
        <v>9.83</v>
      </c>
      <c r="P30" s="6">
        <v>60</v>
      </c>
      <c r="Q30" s="4" t="s">
        <v>26</v>
      </c>
      <c r="R30" s="4">
        <v>0</v>
      </c>
      <c r="S30" s="4">
        <v>0</v>
      </c>
      <c r="T30" s="4">
        <v>5</v>
      </c>
      <c r="U30" s="4">
        <v>23</v>
      </c>
      <c r="V30" s="6">
        <f>IF(ISERROR(VLOOKUP($S$30,'TAR FIN'!$A$1:$O$73,15,0)),0,VLOOKUP($S$30,'TAR FIN'!$A$1:$O$73,15,0))</f>
        <v>0</v>
      </c>
      <c r="W30" s="6">
        <f>IF(ISERROR(VLOOKUP($T$30,'TAR FIN'!$A$1:$O$73,15,0)),0,VLOOKUP($T$30,'TAR FIN'!$A$1:$O$73,15,0))</f>
        <v>264.92</v>
      </c>
      <c r="X30" s="6">
        <f>IF(ISERROR(VLOOKUP($U$30,'TAR FIN'!$A$1:$O$73,15,0)),0,VLOOKUP($U$30,'TAR FIN'!$A$1:$O$73,15,0))</f>
        <v>223.28</v>
      </c>
      <c r="Y30" s="6"/>
      <c r="Z30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30" s="6">
        <f>('TE BE'!$AB$13+'TE BF'!$AB$13+'TE CVA'!$AB$13)*(1-CUSTOS!$M$36)</f>
        <v>172.89062605364029</v>
      </c>
      <c r="AB30" s="6">
        <f t="shared" si="0"/>
        <v>0</v>
      </c>
      <c r="AC30" s="6">
        <f>(L30-M30)*(W30+X30)+($W$33+$X$33-$W$30-$X$30)*(L30)</f>
        <v>533.27750000000026</v>
      </c>
      <c r="AD30" s="6">
        <f t="shared" si="1"/>
        <v>0</v>
      </c>
      <c r="AE30" s="6">
        <f ca="1">(L30-M30)*(Z30+AA30)+($Z$33+$AA$33-$Z$30-$AA$30)*(L30)</f>
        <v>534.97920984850452</v>
      </c>
      <c r="AF30" s="4" t="s">
        <v>464</v>
      </c>
    </row>
    <row r="31" spans="1:32" ht="11.25" customHeight="1" x14ac:dyDescent="0.25">
      <c r="A31" s="4" t="s">
        <v>21</v>
      </c>
      <c r="B31" s="4" t="s">
        <v>22</v>
      </c>
      <c r="C31" s="4" t="s">
        <v>23</v>
      </c>
      <c r="D31" s="4" t="s">
        <v>24</v>
      </c>
      <c r="E31" s="4" t="s">
        <v>39</v>
      </c>
      <c r="F31" s="4" t="s">
        <v>25</v>
      </c>
      <c r="G31" s="4" t="s">
        <v>25</v>
      </c>
      <c r="H31" s="4" t="s">
        <v>25</v>
      </c>
      <c r="I31" s="5">
        <v>44805</v>
      </c>
      <c r="J31" s="6">
        <v>0</v>
      </c>
      <c r="K31" s="6">
        <v>0</v>
      </c>
      <c r="L31" s="6">
        <v>11.214</v>
      </c>
      <c r="M31" s="6">
        <v>11.214</v>
      </c>
      <c r="N31" s="6">
        <v>11.214</v>
      </c>
      <c r="O31" s="6">
        <v>11.214</v>
      </c>
      <c r="P31" s="6">
        <v>69</v>
      </c>
      <c r="Q31" s="4" t="s">
        <v>26</v>
      </c>
      <c r="R31" s="4">
        <v>0</v>
      </c>
      <c r="S31" s="4">
        <v>0</v>
      </c>
      <c r="T31" s="4">
        <v>5</v>
      </c>
      <c r="U31" s="4">
        <v>23</v>
      </c>
      <c r="V31" s="6">
        <f>IF(ISERROR(VLOOKUP($S$31,'TAR FIN'!$A$1:$O$73,15,0)),0,VLOOKUP($S$31,'TAR FIN'!$A$1:$O$73,15,0))</f>
        <v>0</v>
      </c>
      <c r="W31" s="6">
        <f>IF(ISERROR(VLOOKUP($T$31,'TAR FIN'!$A$1:$O$73,15,0)),0,VLOOKUP($T$31,'TAR FIN'!$A$1:$O$73,15,0))</f>
        <v>264.92</v>
      </c>
      <c r="X31" s="6">
        <f>IF(ISERROR(VLOOKUP($U$31,'TAR FIN'!$A$1:$O$73,15,0)),0,VLOOKUP($U$31,'TAR FIN'!$A$1:$O$73,15,0))</f>
        <v>223.28</v>
      </c>
      <c r="Y31" s="6"/>
      <c r="Z31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31" s="6">
        <f>('TE BE'!$AB$13+'TE BF'!$AB$13+'TE CVA'!$AB$13)*(1-CUSTOS!$M$36)</f>
        <v>172.89062605364029</v>
      </c>
      <c r="AB31" s="6">
        <f t="shared" si="0"/>
        <v>0</v>
      </c>
      <c r="AC31" s="6">
        <f>(L31-M31)*(W31+X31)+($W$33+$X$33-$W$31-$X$31)*(L31)</f>
        <v>608.35950000000037</v>
      </c>
      <c r="AD31" s="6">
        <f t="shared" si="1"/>
        <v>0</v>
      </c>
      <c r="AE31" s="6">
        <f ca="1">(L31-M31)*(Z31+AA31)+($Z$33+$AA$33-$Z$31-$AA$31)*(L31)</f>
        <v>610.30079951588311</v>
      </c>
      <c r="AF31" s="4" t="s">
        <v>464</v>
      </c>
    </row>
    <row r="32" spans="1:32" ht="11.25" customHeight="1" x14ac:dyDescent="0.25">
      <c r="A32" s="4" t="s">
        <v>21</v>
      </c>
      <c r="B32" s="4" t="s">
        <v>22</v>
      </c>
      <c r="C32" s="4" t="s">
        <v>23</v>
      </c>
      <c r="D32" s="4" t="s">
        <v>24</v>
      </c>
      <c r="E32" s="4" t="s">
        <v>39</v>
      </c>
      <c r="F32" s="4" t="s">
        <v>25</v>
      </c>
      <c r="G32" s="4" t="s">
        <v>25</v>
      </c>
      <c r="H32" s="4" t="s">
        <v>25</v>
      </c>
      <c r="I32" s="5">
        <v>44835</v>
      </c>
      <c r="J32" s="6">
        <v>0</v>
      </c>
      <c r="K32" s="6">
        <v>0</v>
      </c>
      <c r="L32" s="6">
        <v>9.5440000000000005</v>
      </c>
      <c r="M32" s="6">
        <v>9.5440000000000005</v>
      </c>
      <c r="N32" s="6">
        <v>9.5440000000000005</v>
      </c>
      <c r="O32" s="6">
        <v>9.5440000000000005</v>
      </c>
      <c r="P32" s="6">
        <v>61</v>
      </c>
      <c r="Q32" s="4" t="s">
        <v>26</v>
      </c>
      <c r="R32" s="4">
        <v>0</v>
      </c>
      <c r="S32" s="4">
        <v>0</v>
      </c>
      <c r="T32" s="4">
        <v>5</v>
      </c>
      <c r="U32" s="4">
        <v>23</v>
      </c>
      <c r="V32" s="6">
        <f>IF(ISERROR(VLOOKUP($S$32,'TAR FIN'!$A$1:$O$73,15,0)),0,VLOOKUP($S$32,'TAR FIN'!$A$1:$O$73,15,0))</f>
        <v>0</v>
      </c>
      <c r="W32" s="6">
        <f>IF(ISERROR(VLOOKUP($T$32,'TAR FIN'!$A$1:$O$73,15,0)),0,VLOOKUP($T$32,'TAR FIN'!$A$1:$O$73,15,0))</f>
        <v>264.92</v>
      </c>
      <c r="X32" s="6">
        <f>IF(ISERROR(VLOOKUP($U$32,'TAR FIN'!$A$1:$O$73,15,0)),0,VLOOKUP($U$32,'TAR FIN'!$A$1:$O$73,15,0))</f>
        <v>223.28</v>
      </c>
      <c r="Y32" s="6"/>
      <c r="Z32" s="6">
        <f ca="1">('TUSD BE'!$AM$23+'TUSD BF'!$AM$23+'TUSD CVA'!$AM$23-('TUSD BE'!$P$23+'TUSD BF'!$P$23+'TUSD CVA'!$P$23)-('TUSD BE'!$Q$23+'TUSD BF'!$Q$23+'TUSD CVA'!$Q$23)-('TUSD BE'!$R$23+'TUSD BF'!$R$23+'TUSD CVA'!$R$23))*(1-CUSTOS!$M$36)</f>
        <v>316.91739924000672</v>
      </c>
      <c r="AA32" s="6">
        <f>('TE BE'!$AB$13+'TE BF'!$AB$13+'TE CVA'!$AB$13)*(1-CUSTOS!$M$36)</f>
        <v>172.89062605364029</v>
      </c>
      <c r="AB32" s="6">
        <f t="shared" si="0"/>
        <v>0</v>
      </c>
      <c r="AC32" s="6">
        <f>(L32-M32)*(W32+X32)+($W$33+$X$33-$W$32-$X$32)*(L32)</f>
        <v>517.76200000000028</v>
      </c>
      <c r="AD32" s="6">
        <f t="shared" si="1"/>
        <v>0</v>
      </c>
      <c r="AE32" s="6">
        <f ca="1">(L32-M32)*(Z32+AA32)+($Z$33+$AA$33-$Z$32-$AA$32)*(L32)</f>
        <v>519.41419926695096</v>
      </c>
      <c r="AF32" s="4" t="s">
        <v>464</v>
      </c>
    </row>
    <row r="33" spans="1:32" ht="11.25" customHeight="1" x14ac:dyDescent="0.25">
      <c r="A33" s="4" t="s">
        <v>21</v>
      </c>
      <c r="B33" s="4" t="s">
        <v>22</v>
      </c>
      <c r="C33" s="4" t="s">
        <v>23</v>
      </c>
      <c r="D33" s="4" t="s">
        <v>24</v>
      </c>
      <c r="E33" s="4" t="s">
        <v>40</v>
      </c>
      <c r="F33" s="4" t="s">
        <v>25</v>
      </c>
      <c r="G33" s="4" t="s">
        <v>25</v>
      </c>
      <c r="H33" s="4" t="s">
        <v>25</v>
      </c>
      <c r="I33" s="5">
        <v>44531</v>
      </c>
      <c r="J33" s="6">
        <v>0</v>
      </c>
      <c r="K33" s="6">
        <v>0</v>
      </c>
      <c r="L33" s="6">
        <v>1.401</v>
      </c>
      <c r="M33" s="6">
        <v>1.401</v>
      </c>
      <c r="N33" s="6">
        <v>1.401</v>
      </c>
      <c r="O33" s="6">
        <v>1.401</v>
      </c>
      <c r="P33" s="6">
        <v>4</v>
      </c>
      <c r="Q33" s="4" t="s">
        <v>26</v>
      </c>
      <c r="R33" s="4">
        <v>0</v>
      </c>
      <c r="S33" s="4">
        <v>0</v>
      </c>
      <c r="T33" s="4">
        <v>37</v>
      </c>
      <c r="U33" s="4">
        <v>62</v>
      </c>
      <c r="V33" s="6">
        <f>IF(ISERROR(VLOOKUP($S$33,'TAR FIN'!$A$1:$O$73,15,0)),0,VLOOKUP($S$33,'TAR FIN'!$A$1:$O$73,15,0))</f>
        <v>0</v>
      </c>
      <c r="W33" s="6">
        <f>IF(ISERROR(VLOOKUP($T$33,'TAR FIN'!$A$1:$O$73,15,0)),0,VLOOKUP($T$33,'TAR FIN'!$A$1:$O$73,15,0))</f>
        <v>294.36</v>
      </c>
      <c r="X33" s="6">
        <f>IF(ISERROR(VLOOKUP($U$33,'TAR FIN'!$A$1:$O$73,15,0)),0,VLOOKUP($U$33,'TAR FIN'!$A$1:$O$73,15,0))</f>
        <v>248.09</v>
      </c>
      <c r="Y33" s="6"/>
      <c r="Z33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33" s="6">
        <f>('TE BE'!$AB$14+'TE BF'!$AB$14+'TE CVA'!$AB$14)*(1-CUSTOS!$M$37)</f>
        <v>192.10069561515587</v>
      </c>
      <c r="AB33" s="6">
        <f t="shared" si="0"/>
        <v>0</v>
      </c>
      <c r="AC33" s="6">
        <f>(L33-M33)*(W33+X33)+($W$33+$X$33-$W$33-$X$33)*(L33)</f>
        <v>3.9818814911996015E-14</v>
      </c>
      <c r="AD33" s="6">
        <f t="shared" si="1"/>
        <v>0</v>
      </c>
      <c r="AE33" s="6">
        <f ca="1">(L33-M33)*(Z33+AA33)+($Z$33+$AA$33-$Z$33-$AA$33)*(L33)</f>
        <v>-7.963762982399203E-14</v>
      </c>
      <c r="AF33" s="4" t="s">
        <v>464</v>
      </c>
    </row>
    <row r="34" spans="1:32" ht="11.25" customHeight="1" x14ac:dyDescent="0.25">
      <c r="A34" s="4" t="s">
        <v>21</v>
      </c>
      <c r="B34" s="4" t="s">
        <v>22</v>
      </c>
      <c r="C34" s="4" t="s">
        <v>23</v>
      </c>
      <c r="D34" s="4" t="s">
        <v>24</v>
      </c>
      <c r="E34" s="4" t="s">
        <v>40</v>
      </c>
      <c r="F34" s="4" t="s">
        <v>25</v>
      </c>
      <c r="G34" s="4" t="s">
        <v>25</v>
      </c>
      <c r="H34" s="4" t="s">
        <v>25</v>
      </c>
      <c r="I34" s="5">
        <v>44562</v>
      </c>
      <c r="J34" s="6">
        <v>0</v>
      </c>
      <c r="K34" s="6">
        <v>0</v>
      </c>
      <c r="L34" s="6">
        <v>1.125</v>
      </c>
      <c r="M34" s="6">
        <v>1.125</v>
      </c>
      <c r="N34" s="6">
        <v>1.125</v>
      </c>
      <c r="O34" s="6">
        <v>1.125</v>
      </c>
      <c r="P34" s="6">
        <v>3</v>
      </c>
      <c r="Q34" s="4" t="s">
        <v>26</v>
      </c>
      <c r="R34" s="4">
        <v>0</v>
      </c>
      <c r="S34" s="4">
        <v>0</v>
      </c>
      <c r="T34" s="4">
        <v>37</v>
      </c>
      <c r="U34" s="4">
        <v>62</v>
      </c>
      <c r="V34" s="6">
        <f>IF(ISERROR(VLOOKUP($S$34,'TAR FIN'!$A$1:$O$73,15,0)),0,VLOOKUP($S$34,'TAR FIN'!$A$1:$O$73,15,0))</f>
        <v>0</v>
      </c>
      <c r="W34" s="6">
        <f>IF(ISERROR(VLOOKUP($T$34,'TAR FIN'!$A$1:$O$73,15,0)),0,VLOOKUP($T$34,'TAR FIN'!$A$1:$O$73,15,0))</f>
        <v>294.36</v>
      </c>
      <c r="X34" s="6">
        <f>IF(ISERROR(VLOOKUP($U$34,'TAR FIN'!$A$1:$O$73,15,0)),0,VLOOKUP($U$34,'TAR FIN'!$A$1:$O$73,15,0))</f>
        <v>248.09</v>
      </c>
      <c r="Y34" s="6"/>
      <c r="Z34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34" s="6">
        <f>('TE BE'!$AB$14+'TE BF'!$AB$14+'TE CVA'!$AB$14)*(1-CUSTOS!$M$37)</f>
        <v>192.10069561515587</v>
      </c>
      <c r="AB34" s="6">
        <f t="shared" ref="AB34:AB65" si="4">(J34-K34)*V34</f>
        <v>0</v>
      </c>
      <c r="AC34" s="6">
        <f>(L34-M34)*(W34+X34)+($W$33+$X$33-$W$34-$X$34)*(L34)</f>
        <v>3.1974423109204508E-14</v>
      </c>
      <c r="AD34" s="6">
        <f t="shared" ref="AD34:AD65" si="5">(J34-K34)*Y34</f>
        <v>0</v>
      </c>
      <c r="AE34" s="6">
        <f ca="1">(L34-M34)*(Z34+AA34)+($Z$33+$AA$33-$Z$34-$AA$34)*(L34)</f>
        <v>-6.3948846218409017E-14</v>
      </c>
      <c r="AF34" s="4" t="s">
        <v>464</v>
      </c>
    </row>
    <row r="35" spans="1:32" ht="11.25" customHeight="1" x14ac:dyDescent="0.25">
      <c r="A35" s="4" t="s">
        <v>21</v>
      </c>
      <c r="B35" s="4" t="s">
        <v>22</v>
      </c>
      <c r="C35" s="4" t="s">
        <v>23</v>
      </c>
      <c r="D35" s="4" t="s">
        <v>24</v>
      </c>
      <c r="E35" s="4" t="s">
        <v>40</v>
      </c>
      <c r="F35" s="4" t="s">
        <v>25</v>
      </c>
      <c r="G35" s="4" t="s">
        <v>25</v>
      </c>
      <c r="H35" s="4" t="s">
        <v>25</v>
      </c>
      <c r="I35" s="5">
        <v>44593</v>
      </c>
      <c r="J35" s="6">
        <v>0</v>
      </c>
      <c r="K35" s="6">
        <v>0</v>
      </c>
      <c r="L35" s="6">
        <v>1.113</v>
      </c>
      <c r="M35" s="6">
        <v>1.113</v>
      </c>
      <c r="N35" s="6">
        <v>1.113</v>
      </c>
      <c r="O35" s="6">
        <v>1.113</v>
      </c>
      <c r="P35" s="6">
        <v>3</v>
      </c>
      <c r="Q35" s="4" t="s">
        <v>26</v>
      </c>
      <c r="R35" s="4">
        <v>0</v>
      </c>
      <c r="S35" s="4">
        <v>0</v>
      </c>
      <c r="T35" s="4">
        <v>37</v>
      </c>
      <c r="U35" s="4">
        <v>62</v>
      </c>
      <c r="V35" s="6">
        <f>IF(ISERROR(VLOOKUP($S$35,'TAR FIN'!$A$1:$O$73,15,0)),0,VLOOKUP($S$35,'TAR FIN'!$A$1:$O$73,15,0))</f>
        <v>0</v>
      </c>
      <c r="W35" s="6">
        <f>IF(ISERROR(VLOOKUP($T$35,'TAR FIN'!$A$1:$O$73,15,0)),0,VLOOKUP($T$35,'TAR FIN'!$A$1:$O$73,15,0))</f>
        <v>294.36</v>
      </c>
      <c r="X35" s="6">
        <f>IF(ISERROR(VLOOKUP($U$35,'TAR FIN'!$A$1:$O$73,15,0)),0,VLOOKUP($U$35,'TAR FIN'!$A$1:$O$73,15,0))</f>
        <v>248.09</v>
      </c>
      <c r="Y35" s="6"/>
      <c r="Z35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35" s="6">
        <f>('TE BE'!$AB$14+'TE BF'!$AB$14+'TE CVA'!$AB$14)*(1-CUSTOS!$M$37)</f>
        <v>192.10069561515587</v>
      </c>
      <c r="AB35" s="6">
        <f t="shared" si="4"/>
        <v>0</v>
      </c>
      <c r="AC35" s="6">
        <f>(L35-M35)*(W35+X35)+($W$33+$X$33-$W$35-$X$35)*(L35)</f>
        <v>3.163336259603966E-14</v>
      </c>
      <c r="AD35" s="6">
        <f t="shared" si="5"/>
        <v>0</v>
      </c>
      <c r="AE35" s="6">
        <f ca="1">(L35-M35)*(Z35+AA35)+($Z$33+$AA$33-$Z$35-$AA$35)*(L35)</f>
        <v>-6.326672519207932E-14</v>
      </c>
      <c r="AF35" s="4" t="s">
        <v>464</v>
      </c>
    </row>
    <row r="36" spans="1:32" ht="11.25" customHeight="1" x14ac:dyDescent="0.25">
      <c r="A36" s="4" t="s">
        <v>21</v>
      </c>
      <c r="B36" s="4" t="s">
        <v>22</v>
      </c>
      <c r="C36" s="4" t="s">
        <v>23</v>
      </c>
      <c r="D36" s="4" t="s">
        <v>24</v>
      </c>
      <c r="E36" s="4" t="s">
        <v>40</v>
      </c>
      <c r="F36" s="4" t="s">
        <v>25</v>
      </c>
      <c r="G36" s="4" t="s">
        <v>25</v>
      </c>
      <c r="H36" s="4" t="s">
        <v>25</v>
      </c>
      <c r="I36" s="5">
        <v>44621</v>
      </c>
      <c r="J36" s="6">
        <v>0</v>
      </c>
      <c r="K36" s="6">
        <v>0</v>
      </c>
      <c r="L36" s="6">
        <v>4.9450000000000003</v>
      </c>
      <c r="M36" s="6">
        <v>4.9450000000000003</v>
      </c>
      <c r="N36" s="6">
        <v>4.9450000000000003</v>
      </c>
      <c r="O36" s="6">
        <v>4.9450000000000003</v>
      </c>
      <c r="P36" s="6">
        <v>16</v>
      </c>
      <c r="Q36" s="4" t="s">
        <v>26</v>
      </c>
      <c r="R36" s="4">
        <v>0</v>
      </c>
      <c r="S36" s="4">
        <v>0</v>
      </c>
      <c r="T36" s="4">
        <v>37</v>
      </c>
      <c r="U36" s="4">
        <v>62</v>
      </c>
      <c r="V36" s="6">
        <f>IF(ISERROR(VLOOKUP($S$36,'TAR FIN'!$A$1:$O$73,15,0)),0,VLOOKUP($S$36,'TAR FIN'!$A$1:$O$73,15,0))</f>
        <v>0</v>
      </c>
      <c r="W36" s="6">
        <f>IF(ISERROR(VLOOKUP($T$36,'TAR FIN'!$A$1:$O$73,15,0)),0,VLOOKUP($T$36,'TAR FIN'!$A$1:$O$73,15,0))</f>
        <v>294.36</v>
      </c>
      <c r="X36" s="6">
        <f>IF(ISERROR(VLOOKUP($U$36,'TAR FIN'!$A$1:$O$73,15,0)),0,VLOOKUP($U$36,'TAR FIN'!$A$1:$O$73,15,0))</f>
        <v>248.09</v>
      </c>
      <c r="Y36" s="6"/>
      <c r="Z36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36" s="6">
        <f>('TE BE'!$AB$14+'TE BF'!$AB$14+'TE CVA'!$AB$14)*(1-CUSTOS!$M$37)</f>
        <v>192.10069561515587</v>
      </c>
      <c r="AB36" s="6">
        <f t="shared" si="4"/>
        <v>0</v>
      </c>
      <c r="AC36" s="6">
        <f>(L36-M36)*(W36+X36)+($W$33+$X$33-$W$36-$X$36)*(L36)</f>
        <v>1.4054535313334782E-13</v>
      </c>
      <c r="AD36" s="6">
        <f t="shared" si="5"/>
        <v>0</v>
      </c>
      <c r="AE36" s="6">
        <f ca="1">(L36-M36)*(Z36+AA36)+($Z$33+$AA$33-$Z$36-$AA$36)*(L36)</f>
        <v>-2.8109070626669565E-13</v>
      </c>
      <c r="AF36" s="4" t="s">
        <v>464</v>
      </c>
    </row>
    <row r="37" spans="1:32" ht="11.25" customHeight="1" x14ac:dyDescent="0.25">
      <c r="A37" s="4" t="s">
        <v>21</v>
      </c>
      <c r="B37" s="4" t="s">
        <v>22</v>
      </c>
      <c r="C37" s="4" t="s">
        <v>23</v>
      </c>
      <c r="D37" s="4" t="s">
        <v>24</v>
      </c>
      <c r="E37" s="4" t="s">
        <v>40</v>
      </c>
      <c r="F37" s="4" t="s">
        <v>25</v>
      </c>
      <c r="G37" s="4" t="s">
        <v>25</v>
      </c>
      <c r="H37" s="4" t="s">
        <v>25</v>
      </c>
      <c r="I37" s="5">
        <v>44652</v>
      </c>
      <c r="J37" s="6">
        <v>0</v>
      </c>
      <c r="K37" s="6">
        <v>0</v>
      </c>
      <c r="L37" s="6">
        <v>7.3570000000000002</v>
      </c>
      <c r="M37" s="6">
        <v>7.3570000000000002</v>
      </c>
      <c r="N37" s="6">
        <v>7.3570000000000002</v>
      </c>
      <c r="O37" s="6">
        <v>7.3570000000000002</v>
      </c>
      <c r="P37" s="6">
        <v>24</v>
      </c>
      <c r="Q37" s="4" t="s">
        <v>26</v>
      </c>
      <c r="R37" s="4">
        <v>0</v>
      </c>
      <c r="S37" s="4">
        <v>0</v>
      </c>
      <c r="T37" s="4">
        <v>37</v>
      </c>
      <c r="U37" s="4">
        <v>62</v>
      </c>
      <c r="V37" s="6">
        <f>IF(ISERROR(VLOOKUP($S$37,'TAR FIN'!$A$1:$O$73,15,0)),0,VLOOKUP($S$37,'TAR FIN'!$A$1:$O$73,15,0))</f>
        <v>0</v>
      </c>
      <c r="W37" s="6">
        <f>IF(ISERROR(VLOOKUP($T$37,'TAR FIN'!$A$1:$O$73,15,0)),0,VLOOKUP($T$37,'TAR FIN'!$A$1:$O$73,15,0))</f>
        <v>294.36</v>
      </c>
      <c r="X37" s="6">
        <f>IF(ISERROR(VLOOKUP($U$37,'TAR FIN'!$A$1:$O$73,15,0)),0,VLOOKUP($U$37,'TAR FIN'!$A$1:$O$73,15,0))</f>
        <v>248.09</v>
      </c>
      <c r="Y37" s="6"/>
      <c r="Z37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37" s="6">
        <f>('TE BE'!$AB$14+'TE BF'!$AB$14+'TE CVA'!$AB$14)*(1-CUSTOS!$M$37)</f>
        <v>192.10069561515587</v>
      </c>
      <c r="AB37" s="6">
        <f t="shared" si="4"/>
        <v>0</v>
      </c>
      <c r="AC37" s="6">
        <f>(L37-M37)*(W37+X37)+($W$33+$X$33-$W$37-$X$37)*(L37)</f>
        <v>2.0909851627948229E-13</v>
      </c>
      <c r="AD37" s="6">
        <f t="shared" si="5"/>
        <v>0</v>
      </c>
      <c r="AE37" s="6">
        <f ca="1">(L37-M37)*(Z37+AA37)+($Z$33+$AA$33-$Z$37-$AA$37)*(L37)</f>
        <v>-4.1819703255896458E-13</v>
      </c>
      <c r="AF37" s="4" t="s">
        <v>464</v>
      </c>
    </row>
    <row r="38" spans="1:32" ht="11.25" customHeight="1" x14ac:dyDescent="0.25">
      <c r="A38" s="4" t="s">
        <v>21</v>
      </c>
      <c r="B38" s="4" t="s">
        <v>22</v>
      </c>
      <c r="C38" s="4" t="s">
        <v>23</v>
      </c>
      <c r="D38" s="4" t="s">
        <v>24</v>
      </c>
      <c r="E38" s="4" t="s">
        <v>40</v>
      </c>
      <c r="F38" s="4" t="s">
        <v>25</v>
      </c>
      <c r="G38" s="4" t="s">
        <v>25</v>
      </c>
      <c r="H38" s="4" t="s">
        <v>25</v>
      </c>
      <c r="I38" s="5">
        <v>44682</v>
      </c>
      <c r="J38" s="6">
        <v>0</v>
      </c>
      <c r="K38" s="6">
        <v>0</v>
      </c>
      <c r="L38" s="6">
        <v>6.5419999999999998</v>
      </c>
      <c r="M38" s="6">
        <v>6.5419999999999998</v>
      </c>
      <c r="N38" s="6">
        <v>6.5419999999999998</v>
      </c>
      <c r="O38" s="6">
        <v>6.5419999999999998</v>
      </c>
      <c r="P38" s="6">
        <v>22</v>
      </c>
      <c r="Q38" s="4" t="s">
        <v>26</v>
      </c>
      <c r="R38" s="4">
        <v>0</v>
      </c>
      <c r="S38" s="4">
        <v>0</v>
      </c>
      <c r="T38" s="4">
        <v>37</v>
      </c>
      <c r="U38" s="4">
        <v>62</v>
      </c>
      <c r="V38" s="6">
        <f>IF(ISERROR(VLOOKUP($S$38,'TAR FIN'!$A$1:$O$73,15,0)),0,VLOOKUP($S$38,'TAR FIN'!$A$1:$O$73,15,0))</f>
        <v>0</v>
      </c>
      <c r="W38" s="6">
        <f>IF(ISERROR(VLOOKUP($T$38,'TAR FIN'!$A$1:$O$73,15,0)),0,VLOOKUP($T$38,'TAR FIN'!$A$1:$O$73,15,0))</f>
        <v>294.36</v>
      </c>
      <c r="X38" s="6">
        <f>IF(ISERROR(VLOOKUP($U$38,'TAR FIN'!$A$1:$O$73,15,0)),0,VLOOKUP($U$38,'TAR FIN'!$A$1:$O$73,15,0))</f>
        <v>248.09</v>
      </c>
      <c r="Y38" s="6"/>
      <c r="Z38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38" s="6">
        <f>('TE BE'!$AB$14+'TE BF'!$AB$14+'TE CVA'!$AB$14)*(1-CUSTOS!$M$37)</f>
        <v>192.10069561515587</v>
      </c>
      <c r="AB38" s="6">
        <f t="shared" si="4"/>
        <v>0</v>
      </c>
      <c r="AC38" s="6">
        <f>(L38-M38)*(W38+X38)+($W$33+$X$33-$W$38-$X$38)*(L38)</f>
        <v>1.8593482309370301E-13</v>
      </c>
      <c r="AD38" s="6">
        <f t="shared" si="5"/>
        <v>0</v>
      </c>
      <c r="AE38" s="6">
        <f ca="1">(L38-M38)*(Z38+AA38)+($Z$33+$AA$33-$Z$38-$AA$38)*(L38)</f>
        <v>-3.7186964618740602E-13</v>
      </c>
      <c r="AF38" s="4" t="s">
        <v>464</v>
      </c>
    </row>
    <row r="39" spans="1:32" ht="11.25" customHeight="1" x14ac:dyDescent="0.25">
      <c r="A39" s="4" t="s">
        <v>21</v>
      </c>
      <c r="B39" s="4" t="s">
        <v>22</v>
      </c>
      <c r="C39" s="4" t="s">
        <v>23</v>
      </c>
      <c r="D39" s="4" t="s">
        <v>24</v>
      </c>
      <c r="E39" s="4" t="s">
        <v>40</v>
      </c>
      <c r="F39" s="4" t="s">
        <v>25</v>
      </c>
      <c r="G39" s="4" t="s">
        <v>25</v>
      </c>
      <c r="H39" s="4" t="s">
        <v>25</v>
      </c>
      <c r="I39" s="5">
        <v>44713</v>
      </c>
      <c r="J39" s="6">
        <v>0</v>
      </c>
      <c r="K39" s="6">
        <v>0</v>
      </c>
      <c r="L39" s="6">
        <v>10.398</v>
      </c>
      <c r="M39" s="6">
        <v>10.398</v>
      </c>
      <c r="N39" s="6">
        <v>10.398</v>
      </c>
      <c r="O39" s="6">
        <v>10.398</v>
      </c>
      <c r="P39" s="6">
        <v>33</v>
      </c>
      <c r="Q39" s="4" t="s">
        <v>26</v>
      </c>
      <c r="R39" s="4">
        <v>0</v>
      </c>
      <c r="S39" s="4">
        <v>0</v>
      </c>
      <c r="T39" s="4">
        <v>37</v>
      </c>
      <c r="U39" s="4">
        <v>62</v>
      </c>
      <c r="V39" s="6">
        <f>IF(ISERROR(VLOOKUP($S$39,'TAR FIN'!$A$1:$O$73,15,0)),0,VLOOKUP($S$39,'TAR FIN'!$A$1:$O$73,15,0))</f>
        <v>0</v>
      </c>
      <c r="W39" s="6">
        <f>IF(ISERROR(VLOOKUP($T$39,'TAR FIN'!$A$1:$O$73,15,0)),0,VLOOKUP($T$39,'TAR FIN'!$A$1:$O$73,15,0))</f>
        <v>294.36</v>
      </c>
      <c r="X39" s="6">
        <f>IF(ISERROR(VLOOKUP($U$39,'TAR FIN'!$A$1:$O$73,15,0)),0,VLOOKUP($U$39,'TAR FIN'!$A$1:$O$73,15,0))</f>
        <v>248.09</v>
      </c>
      <c r="Y39" s="6"/>
      <c r="Z39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39" s="6">
        <f>('TE BE'!$AB$14+'TE BF'!$AB$14+'TE CVA'!$AB$14)*(1-CUSTOS!$M$37)</f>
        <v>192.10069561515587</v>
      </c>
      <c r="AB39" s="6">
        <f t="shared" si="4"/>
        <v>0</v>
      </c>
      <c r="AC39" s="6">
        <f>(L39-M39)*(W39+X39)+($W$33+$X$33-$W$39-$X$39)*(L39)</f>
        <v>2.9552893465734086E-13</v>
      </c>
      <c r="AD39" s="6">
        <f t="shared" si="5"/>
        <v>0</v>
      </c>
      <c r="AE39" s="6">
        <f ca="1">(L39-M39)*(Z39+AA39)+($Z$33+$AA$33-$Z$39-$AA$39)*(L39)</f>
        <v>-5.9105786931468172E-13</v>
      </c>
      <c r="AF39" s="4" t="s">
        <v>464</v>
      </c>
    </row>
    <row r="40" spans="1:32" ht="11.25" customHeight="1" x14ac:dyDescent="0.25">
      <c r="A40" s="4" t="s">
        <v>21</v>
      </c>
      <c r="B40" s="4" t="s">
        <v>22</v>
      </c>
      <c r="C40" s="4" t="s">
        <v>23</v>
      </c>
      <c r="D40" s="4" t="s">
        <v>24</v>
      </c>
      <c r="E40" s="4" t="s">
        <v>40</v>
      </c>
      <c r="F40" s="4" t="s">
        <v>25</v>
      </c>
      <c r="G40" s="4" t="s">
        <v>25</v>
      </c>
      <c r="H40" s="4" t="s">
        <v>25</v>
      </c>
      <c r="I40" s="5">
        <v>44743</v>
      </c>
      <c r="J40" s="6">
        <v>0</v>
      </c>
      <c r="K40" s="6">
        <v>0</v>
      </c>
      <c r="L40" s="6">
        <v>12.074999999999999</v>
      </c>
      <c r="M40" s="6">
        <v>12.074999999999999</v>
      </c>
      <c r="N40" s="6">
        <v>12.074999999999999</v>
      </c>
      <c r="O40" s="6">
        <v>12.074999999999999</v>
      </c>
      <c r="P40" s="6">
        <v>35</v>
      </c>
      <c r="Q40" s="4" t="s">
        <v>26</v>
      </c>
      <c r="R40" s="4">
        <v>0</v>
      </c>
      <c r="S40" s="4">
        <v>0</v>
      </c>
      <c r="T40" s="4">
        <v>37</v>
      </c>
      <c r="U40" s="4">
        <v>62</v>
      </c>
      <c r="V40" s="6">
        <f>IF(ISERROR(VLOOKUP($S$40,'TAR FIN'!$A$1:$O$73,15,0)),0,VLOOKUP($S$40,'TAR FIN'!$A$1:$O$73,15,0))</f>
        <v>0</v>
      </c>
      <c r="W40" s="6">
        <f>IF(ISERROR(VLOOKUP($T$40,'TAR FIN'!$A$1:$O$73,15,0)),0,VLOOKUP($T$40,'TAR FIN'!$A$1:$O$73,15,0))</f>
        <v>294.36</v>
      </c>
      <c r="X40" s="6">
        <f>IF(ISERROR(VLOOKUP($U$40,'TAR FIN'!$A$1:$O$73,15,0)),0,VLOOKUP($U$40,'TAR FIN'!$A$1:$O$73,15,0))</f>
        <v>248.09</v>
      </c>
      <c r="Y40" s="6"/>
      <c r="Z40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40" s="6">
        <f>('TE BE'!$AB$14+'TE BF'!$AB$14+'TE CVA'!$AB$14)*(1-CUSTOS!$M$37)</f>
        <v>192.10069561515587</v>
      </c>
      <c r="AB40" s="6">
        <f t="shared" si="4"/>
        <v>0</v>
      </c>
      <c r="AC40" s="6">
        <f>(L40-M40)*(W40+X40)+($W$33+$X$33-$W$40-$X$40)*(L40)</f>
        <v>3.4319214137212837E-13</v>
      </c>
      <c r="AD40" s="6">
        <f t="shared" si="5"/>
        <v>0</v>
      </c>
      <c r="AE40" s="6">
        <f ca="1">(L40-M40)*(Z40+AA40)+($Z$33+$AA$33-$Z$40-$AA$40)*(L40)</f>
        <v>-6.8638428274425674E-13</v>
      </c>
      <c r="AF40" s="4" t="s">
        <v>464</v>
      </c>
    </row>
    <row r="41" spans="1:32" ht="11.25" customHeight="1" x14ac:dyDescent="0.25">
      <c r="A41" s="4" t="s">
        <v>21</v>
      </c>
      <c r="B41" s="4" t="s">
        <v>22</v>
      </c>
      <c r="C41" s="4" t="s">
        <v>23</v>
      </c>
      <c r="D41" s="4" t="s">
        <v>24</v>
      </c>
      <c r="E41" s="4" t="s">
        <v>40</v>
      </c>
      <c r="F41" s="4" t="s">
        <v>25</v>
      </c>
      <c r="G41" s="4" t="s">
        <v>25</v>
      </c>
      <c r="H41" s="4" t="s">
        <v>25</v>
      </c>
      <c r="I41" s="5">
        <v>44774</v>
      </c>
      <c r="J41" s="6">
        <v>0</v>
      </c>
      <c r="K41" s="6">
        <v>0</v>
      </c>
      <c r="L41" s="6">
        <v>12.263</v>
      </c>
      <c r="M41" s="6">
        <v>12.263</v>
      </c>
      <c r="N41" s="6">
        <v>12.263</v>
      </c>
      <c r="O41" s="6">
        <v>12.263</v>
      </c>
      <c r="P41" s="6">
        <v>41</v>
      </c>
      <c r="Q41" s="4" t="s">
        <v>26</v>
      </c>
      <c r="R41" s="4">
        <v>0</v>
      </c>
      <c r="S41" s="4">
        <v>0</v>
      </c>
      <c r="T41" s="4">
        <v>37</v>
      </c>
      <c r="U41" s="4">
        <v>62</v>
      </c>
      <c r="V41" s="6">
        <f>IF(ISERROR(VLOOKUP($S$41,'TAR FIN'!$A$1:$O$73,15,0)),0,VLOOKUP($S$41,'TAR FIN'!$A$1:$O$73,15,0))</f>
        <v>0</v>
      </c>
      <c r="W41" s="6">
        <f>IF(ISERROR(VLOOKUP($T$41,'TAR FIN'!$A$1:$O$73,15,0)),0,VLOOKUP($T$41,'TAR FIN'!$A$1:$O$73,15,0))</f>
        <v>294.36</v>
      </c>
      <c r="X41" s="6">
        <f>IF(ISERROR(VLOOKUP($U$41,'TAR FIN'!$A$1:$O$73,15,0)),0,VLOOKUP($U$41,'TAR FIN'!$A$1:$O$73,15,0))</f>
        <v>248.09</v>
      </c>
      <c r="Y41" s="6"/>
      <c r="Z41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41" s="6">
        <f>('TE BE'!$AB$14+'TE BF'!$AB$14+'TE CVA'!$AB$14)*(1-CUSTOS!$M$37)</f>
        <v>192.10069561515587</v>
      </c>
      <c r="AB41" s="6">
        <f t="shared" si="4"/>
        <v>0</v>
      </c>
      <c r="AC41" s="6">
        <f>(L41-M41)*(W41+X41)+($W$33+$X$33-$W$41-$X$41)*(L41)</f>
        <v>3.4853542274504434E-13</v>
      </c>
      <c r="AD41" s="6">
        <f t="shared" si="5"/>
        <v>0</v>
      </c>
      <c r="AE41" s="6">
        <f ca="1">(L41-M41)*(Z41+AA41)+($Z$33+$AA$33-$Z$41-$AA$41)*(L41)</f>
        <v>-6.9707084549008868E-13</v>
      </c>
      <c r="AF41" s="4" t="s">
        <v>464</v>
      </c>
    </row>
    <row r="42" spans="1:32" ht="11.25" customHeight="1" x14ac:dyDescent="0.25">
      <c r="A42" s="4" t="s">
        <v>21</v>
      </c>
      <c r="B42" s="4" t="s">
        <v>22</v>
      </c>
      <c r="C42" s="4" t="s">
        <v>23</v>
      </c>
      <c r="D42" s="4" t="s">
        <v>24</v>
      </c>
      <c r="E42" s="4" t="s">
        <v>40</v>
      </c>
      <c r="F42" s="4" t="s">
        <v>25</v>
      </c>
      <c r="G42" s="4" t="s">
        <v>25</v>
      </c>
      <c r="H42" s="4" t="s">
        <v>25</v>
      </c>
      <c r="I42" s="5">
        <v>44805</v>
      </c>
      <c r="J42" s="6">
        <v>0</v>
      </c>
      <c r="K42" s="6">
        <v>0</v>
      </c>
      <c r="L42" s="6">
        <v>10.863</v>
      </c>
      <c r="M42" s="6">
        <v>10.863</v>
      </c>
      <c r="N42" s="6">
        <v>10.863</v>
      </c>
      <c r="O42" s="6">
        <v>10.863</v>
      </c>
      <c r="P42" s="6">
        <v>35</v>
      </c>
      <c r="Q42" s="4" t="s">
        <v>26</v>
      </c>
      <c r="R42" s="4">
        <v>0</v>
      </c>
      <c r="S42" s="4">
        <v>0</v>
      </c>
      <c r="T42" s="4">
        <v>37</v>
      </c>
      <c r="U42" s="4">
        <v>62</v>
      </c>
      <c r="V42" s="6">
        <f>IF(ISERROR(VLOOKUP($S$42,'TAR FIN'!$A$1:$O$73,15,0)),0,VLOOKUP($S$42,'TAR FIN'!$A$1:$O$73,15,0))</f>
        <v>0</v>
      </c>
      <c r="W42" s="6">
        <f>IF(ISERROR(VLOOKUP($T$42,'TAR FIN'!$A$1:$O$73,15,0)),0,VLOOKUP($T$42,'TAR FIN'!$A$1:$O$73,15,0))</f>
        <v>294.36</v>
      </c>
      <c r="X42" s="6">
        <f>IF(ISERROR(VLOOKUP($U$42,'TAR FIN'!$A$1:$O$73,15,0)),0,VLOOKUP($U$42,'TAR FIN'!$A$1:$O$73,15,0))</f>
        <v>248.09</v>
      </c>
      <c r="Y42" s="6"/>
      <c r="Z42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42" s="6">
        <f>('TE BE'!$AB$14+'TE BF'!$AB$14+'TE CVA'!$AB$14)*(1-CUSTOS!$M$37)</f>
        <v>192.10069561515587</v>
      </c>
      <c r="AB42" s="6">
        <f t="shared" si="4"/>
        <v>0</v>
      </c>
      <c r="AC42" s="6">
        <f>(L42-M42)*(W42+X42)+($W$33+$X$33-$W$42-$X$42)*(L42)</f>
        <v>3.0874502954247872E-13</v>
      </c>
      <c r="AD42" s="6">
        <f t="shared" si="5"/>
        <v>0</v>
      </c>
      <c r="AE42" s="6">
        <f ca="1">(L42-M42)*(Z42+AA42)+($Z$33+$AA$33-$Z$42-$AA$42)*(L42)</f>
        <v>-6.1749005908495744E-13</v>
      </c>
      <c r="AF42" s="4" t="s">
        <v>464</v>
      </c>
    </row>
    <row r="43" spans="1:32" ht="11.25" customHeight="1" x14ac:dyDescent="0.25">
      <c r="A43" s="4" t="s">
        <v>21</v>
      </c>
      <c r="B43" s="4" t="s">
        <v>22</v>
      </c>
      <c r="C43" s="4" t="s">
        <v>23</v>
      </c>
      <c r="D43" s="4" t="s">
        <v>24</v>
      </c>
      <c r="E43" s="4" t="s">
        <v>40</v>
      </c>
      <c r="F43" s="4" t="s">
        <v>25</v>
      </c>
      <c r="G43" s="4" t="s">
        <v>25</v>
      </c>
      <c r="H43" s="4" t="s">
        <v>25</v>
      </c>
      <c r="I43" s="5">
        <v>44835</v>
      </c>
      <c r="J43" s="6">
        <v>0</v>
      </c>
      <c r="K43" s="6">
        <v>0</v>
      </c>
      <c r="L43" s="6">
        <v>13.429</v>
      </c>
      <c r="M43" s="6">
        <v>13.429</v>
      </c>
      <c r="N43" s="6">
        <v>13.429</v>
      </c>
      <c r="O43" s="6">
        <v>13.429</v>
      </c>
      <c r="P43" s="6">
        <v>46</v>
      </c>
      <c r="Q43" s="4" t="s">
        <v>26</v>
      </c>
      <c r="R43" s="4">
        <v>0</v>
      </c>
      <c r="S43" s="4">
        <v>0</v>
      </c>
      <c r="T43" s="4">
        <v>37</v>
      </c>
      <c r="U43" s="4">
        <v>62</v>
      </c>
      <c r="V43" s="6">
        <f>IF(ISERROR(VLOOKUP($S$43,'TAR FIN'!$A$1:$O$73,15,0)),0,VLOOKUP($S$43,'TAR FIN'!$A$1:$O$73,15,0))</f>
        <v>0</v>
      </c>
      <c r="W43" s="6">
        <f>IF(ISERROR(VLOOKUP($T$43,'TAR FIN'!$A$1:$O$73,15,0)),0,VLOOKUP($T$43,'TAR FIN'!$A$1:$O$73,15,0))</f>
        <v>294.36</v>
      </c>
      <c r="X43" s="6">
        <f>IF(ISERROR(VLOOKUP($U$43,'TAR FIN'!$A$1:$O$73,15,0)),0,VLOOKUP($U$43,'TAR FIN'!$A$1:$O$73,15,0))</f>
        <v>248.09</v>
      </c>
      <c r="Y43" s="6"/>
      <c r="Z43" s="6">
        <f ca="1">('TUSD BE'!$AM$24+'TUSD BF'!$AM$24+'TUSD CVA'!$AM$24-('TUSD BE'!$P$24+'TUSD BF'!$P$24+'TUSD CVA'!$P$24)-('TUSD BE'!$Q$24+'TUSD BF'!$Q$24+'TUSD CVA'!$Q$24)-('TUSD BE'!$R$24+'TUSD BF'!$R$24+'TUSD CVA'!$R$24))*(1-CUSTOS!$M$37)</f>
        <v>352.13044360000742</v>
      </c>
      <c r="AA43" s="6">
        <f>('TE BE'!$AB$14+'TE BF'!$AB$14+'TE CVA'!$AB$14)*(1-CUSTOS!$M$37)</f>
        <v>192.10069561515587</v>
      </c>
      <c r="AB43" s="6">
        <f t="shared" si="4"/>
        <v>0</v>
      </c>
      <c r="AC43" s="6">
        <f>(L43-M43)*(W43+X43)+($W$33+$X$33-$W$43-$X$43)*(L43)</f>
        <v>3.8167513594089542E-13</v>
      </c>
      <c r="AD43" s="6">
        <f t="shared" si="5"/>
        <v>0</v>
      </c>
      <c r="AE43" s="6">
        <f ca="1">(L43-M43)*(Z43+AA43)+($Z$33+$AA$33-$Z$43-$AA$43)*(L43)</f>
        <v>-7.6335027188179085E-13</v>
      </c>
      <c r="AF43" s="4" t="s">
        <v>464</v>
      </c>
    </row>
    <row r="44" spans="1:32" ht="11.25" customHeight="1" x14ac:dyDescent="0.25">
      <c r="A44" s="4" t="s">
        <v>21</v>
      </c>
      <c r="B44" s="4" t="s">
        <v>31</v>
      </c>
      <c r="C44" s="4" t="s">
        <v>23</v>
      </c>
      <c r="D44" s="4" t="s">
        <v>32</v>
      </c>
      <c r="E44" s="4" t="s">
        <v>25</v>
      </c>
      <c r="F44" s="4" t="s">
        <v>25</v>
      </c>
      <c r="G44" s="4" t="s">
        <v>25</v>
      </c>
      <c r="H44" s="4" t="s">
        <v>25</v>
      </c>
      <c r="I44" s="5">
        <v>44501</v>
      </c>
      <c r="J44" s="6">
        <v>0</v>
      </c>
      <c r="K44" s="6">
        <v>0</v>
      </c>
      <c r="L44" s="6">
        <v>469.49200000000002</v>
      </c>
      <c r="M44" s="6">
        <v>469.49200000000002</v>
      </c>
      <c r="N44" s="6">
        <v>469.49200000000002</v>
      </c>
      <c r="O44" s="6">
        <v>469.49200000000002</v>
      </c>
      <c r="P44" s="6">
        <v>1509</v>
      </c>
      <c r="Q44" s="4" t="s">
        <v>26</v>
      </c>
      <c r="R44" s="4">
        <v>0</v>
      </c>
      <c r="S44" s="4">
        <v>0</v>
      </c>
      <c r="T44" s="4">
        <v>41</v>
      </c>
      <c r="U44" s="4">
        <v>39</v>
      </c>
      <c r="V44" s="6">
        <f>IF(ISERROR(VLOOKUP($S$44,'TAR FIN'!$A$1:$O$73,15,0)),0,VLOOKUP($S$44,'TAR FIN'!$A$1:$O$73,15,0))</f>
        <v>0</v>
      </c>
      <c r="W44" s="6">
        <f>IF(ISERROR(VLOOKUP($T$44,'TAR FIN'!$A$1:$O$73,15,0)),0,VLOOKUP($T$44,'TAR FIN'!$A$1:$O$73,15,0))</f>
        <v>338.67</v>
      </c>
      <c r="X44" s="6">
        <f>IF(ISERROR(VLOOKUP($U$44,'TAR FIN'!$A$1:$O$73,15,0)),0,VLOOKUP($U$44,'TAR FIN'!$A$1:$O$73,15,0))</f>
        <v>218.32</v>
      </c>
      <c r="Y44" s="6"/>
      <c r="Z44" s="6">
        <f ca="1">('TUSD BE'!$AM$33+'TUSD BF'!$AM$33+'TUSD CVA'!$AM$33)*(1-CUSTOS!$M$38)</f>
        <v>456.92614339322381</v>
      </c>
      <c r="AA44" s="6">
        <f>('TE BE'!$AB$23+'TE BF'!$AB$23+'TE CVA'!$AB$23)*(1-CUSTOS!$M$38)</f>
        <v>180.57465387824652</v>
      </c>
      <c r="AB44" s="6">
        <f t="shared" si="4"/>
        <v>0</v>
      </c>
      <c r="AC44" s="6">
        <f>(L44-M44)*(W44+X44)+($W$2+$X$2-$W$44-$X$44)*(L44)</f>
        <v>35657.91740000002</v>
      </c>
      <c r="AD44" s="6">
        <f t="shared" si="5"/>
        <v>0</v>
      </c>
      <c r="AE44" s="6">
        <f ca="1">(L44-M44)*(Z44+AA44)+($Z$2+$AA$2-$Z$44-$AA$44)*(L44)</f>
        <v>19104.352615696385</v>
      </c>
      <c r="AF44" s="4" t="s">
        <v>465</v>
      </c>
    </row>
    <row r="45" spans="1:32" ht="11.25" customHeight="1" x14ac:dyDescent="0.25">
      <c r="A45" s="4" t="s">
        <v>27</v>
      </c>
      <c r="B45" s="4" t="s">
        <v>31</v>
      </c>
      <c r="C45" s="4" t="s">
        <v>23</v>
      </c>
      <c r="D45" s="4" t="s">
        <v>32</v>
      </c>
      <c r="E45" s="4" t="s">
        <v>25</v>
      </c>
      <c r="F45" s="4" t="s">
        <v>25</v>
      </c>
      <c r="G45" s="4" t="s">
        <v>25</v>
      </c>
      <c r="H45" s="4" t="s">
        <v>25</v>
      </c>
      <c r="I45" s="5">
        <v>44501</v>
      </c>
      <c r="J45" s="6">
        <v>0</v>
      </c>
      <c r="K45" s="6">
        <v>0</v>
      </c>
      <c r="L45" s="6">
        <v>37.396999999999998</v>
      </c>
      <c r="M45" s="6">
        <v>37.396999999999998</v>
      </c>
      <c r="N45" s="6">
        <v>37.396999999999998</v>
      </c>
      <c r="O45" s="6">
        <v>37.396999999999998</v>
      </c>
      <c r="P45" s="6">
        <v>37</v>
      </c>
      <c r="Q45" s="4" t="s">
        <v>26</v>
      </c>
      <c r="R45" s="4">
        <v>0</v>
      </c>
      <c r="S45" s="4">
        <v>0</v>
      </c>
      <c r="T45" s="4">
        <v>41</v>
      </c>
      <c r="U45" s="4">
        <v>39</v>
      </c>
      <c r="V45" s="6">
        <f>IF(ISERROR(VLOOKUP($S$45,'TAR FIN'!$A$1:$O$73,15,0)),0,VLOOKUP($S$45,'TAR FIN'!$A$1:$O$73,15,0))</f>
        <v>0</v>
      </c>
      <c r="W45" s="6">
        <f>IF(ISERROR(VLOOKUP($T$45,'TAR FIN'!$A$1:$O$73,15,0)),0,VLOOKUP($T$45,'TAR FIN'!$A$1:$O$73,15,0))</f>
        <v>338.67</v>
      </c>
      <c r="X45" s="6">
        <f>IF(ISERROR(VLOOKUP($U$45,'TAR FIN'!$A$1:$O$73,15,0)),0,VLOOKUP($U$45,'TAR FIN'!$A$1:$O$73,15,0))</f>
        <v>218.32</v>
      </c>
      <c r="Y45" s="6"/>
      <c r="Z45" s="6">
        <f ca="1">('TUSD BE'!$AM$33+'TUSD BF'!$AM$33+'TUSD CVA'!$AM$33)*(1-CUSTOS!$M$38)</f>
        <v>456.92614339322381</v>
      </c>
      <c r="AA45" s="6">
        <f>('TE BE'!$AB$23+'TE BF'!$AB$23+'TE CVA'!$AB$23)*(1-CUSTOS!$M$38)</f>
        <v>180.57465387824652</v>
      </c>
      <c r="AB45" s="6">
        <f t="shared" si="4"/>
        <v>0</v>
      </c>
      <c r="AC45" s="6">
        <f>(L45-M45)*(W45+X45)+($W$2+$X$2-$W$45-$X$45)*(L45)</f>
        <v>2840.3021500000018</v>
      </c>
      <c r="AD45" s="6">
        <f t="shared" si="5"/>
        <v>0</v>
      </c>
      <c r="AE45" s="6">
        <f ca="1">(L45-M45)*(Z45+AA45)+($Z$2+$AA$2-$Z$45-$AA$45)*(L45)</f>
        <v>1521.7415307804981</v>
      </c>
      <c r="AF45" s="4" t="s">
        <v>465</v>
      </c>
    </row>
    <row r="46" spans="1:32" ht="11.25" customHeight="1" x14ac:dyDescent="0.25">
      <c r="A46" s="4" t="s">
        <v>21</v>
      </c>
      <c r="B46" s="4" t="s">
        <v>31</v>
      </c>
      <c r="C46" s="4" t="s">
        <v>23</v>
      </c>
      <c r="D46" s="4" t="s">
        <v>32</v>
      </c>
      <c r="E46" s="4" t="s">
        <v>25</v>
      </c>
      <c r="F46" s="4" t="s">
        <v>25</v>
      </c>
      <c r="G46" s="4" t="s">
        <v>25</v>
      </c>
      <c r="H46" s="4" t="s">
        <v>25</v>
      </c>
      <c r="I46" s="5">
        <v>44531</v>
      </c>
      <c r="J46" s="6">
        <v>0</v>
      </c>
      <c r="K46" s="6">
        <v>0</v>
      </c>
      <c r="L46" s="6">
        <v>452.55099999999999</v>
      </c>
      <c r="M46" s="6">
        <v>452.55099999999999</v>
      </c>
      <c r="N46" s="6">
        <v>452.55099999999999</v>
      </c>
      <c r="O46" s="6">
        <v>452.55099999999999</v>
      </c>
      <c r="P46" s="6">
        <v>1500</v>
      </c>
      <c r="Q46" s="4" t="s">
        <v>26</v>
      </c>
      <c r="R46" s="4">
        <v>0</v>
      </c>
      <c r="S46" s="4">
        <v>0</v>
      </c>
      <c r="T46" s="4">
        <v>41</v>
      </c>
      <c r="U46" s="4">
        <v>39</v>
      </c>
      <c r="V46" s="6">
        <f>IF(ISERROR(VLOOKUP($S$46,'TAR FIN'!$A$1:$O$73,15,0)),0,VLOOKUP($S$46,'TAR FIN'!$A$1:$O$73,15,0))</f>
        <v>0</v>
      </c>
      <c r="W46" s="6">
        <f>IF(ISERROR(VLOOKUP($T$46,'TAR FIN'!$A$1:$O$73,15,0)),0,VLOOKUP($T$46,'TAR FIN'!$A$1:$O$73,15,0))</f>
        <v>338.67</v>
      </c>
      <c r="X46" s="6">
        <f>IF(ISERROR(VLOOKUP($U$46,'TAR FIN'!$A$1:$O$73,15,0)),0,VLOOKUP($U$46,'TAR FIN'!$A$1:$O$73,15,0))</f>
        <v>218.32</v>
      </c>
      <c r="Y46" s="6"/>
      <c r="Z46" s="6">
        <f ca="1">('TUSD BE'!$AM$33+'TUSD BF'!$AM$33+'TUSD CVA'!$AM$33)*(1-CUSTOS!$M$38)</f>
        <v>456.92614339322381</v>
      </c>
      <c r="AA46" s="6">
        <f>('TE BE'!$AB$23+'TE BF'!$AB$23+'TE CVA'!$AB$23)*(1-CUSTOS!$M$38)</f>
        <v>180.57465387824652</v>
      </c>
      <c r="AB46" s="6">
        <f t="shared" si="4"/>
        <v>0</v>
      </c>
      <c r="AC46" s="6">
        <f>(L46-M46)*(W46+X46)+($W$2+$X$2-$W$46-$X$46)*(L46)</f>
        <v>34371.248450000021</v>
      </c>
      <c r="AD46" s="6">
        <f t="shared" si="5"/>
        <v>0</v>
      </c>
      <c r="AE46" s="6">
        <f ca="1">(L46-M46)*(Z46+AA46)+($Z$2+$AA$2-$Z$46-$AA$46)*(L46)</f>
        <v>18414.997232297919</v>
      </c>
      <c r="AF46" s="4" t="s">
        <v>465</v>
      </c>
    </row>
    <row r="47" spans="1:32" ht="11.25" customHeight="1" x14ac:dyDescent="0.25">
      <c r="A47" s="4" t="s">
        <v>27</v>
      </c>
      <c r="B47" s="4" t="s">
        <v>31</v>
      </c>
      <c r="C47" s="4" t="s">
        <v>23</v>
      </c>
      <c r="D47" s="4" t="s">
        <v>32</v>
      </c>
      <c r="E47" s="4" t="s">
        <v>25</v>
      </c>
      <c r="F47" s="4" t="s">
        <v>25</v>
      </c>
      <c r="G47" s="4" t="s">
        <v>25</v>
      </c>
      <c r="H47" s="4" t="s">
        <v>25</v>
      </c>
      <c r="I47" s="5">
        <v>44531</v>
      </c>
      <c r="J47" s="6">
        <v>0</v>
      </c>
      <c r="K47" s="6">
        <v>0</v>
      </c>
      <c r="L47" s="6">
        <v>38.174999999999997</v>
      </c>
      <c r="M47" s="6">
        <v>38.174999999999997</v>
      </c>
      <c r="N47" s="6">
        <v>38.174999999999997</v>
      </c>
      <c r="O47" s="6">
        <v>38.174999999999997</v>
      </c>
      <c r="P47" s="6">
        <v>41</v>
      </c>
      <c r="Q47" s="4" t="s">
        <v>26</v>
      </c>
      <c r="R47" s="4">
        <v>0</v>
      </c>
      <c r="S47" s="4">
        <v>0</v>
      </c>
      <c r="T47" s="4">
        <v>41</v>
      </c>
      <c r="U47" s="4">
        <v>39</v>
      </c>
      <c r="V47" s="6">
        <f>IF(ISERROR(VLOOKUP($S$47,'TAR FIN'!$A$1:$O$73,15,0)),0,VLOOKUP($S$47,'TAR FIN'!$A$1:$O$73,15,0))</f>
        <v>0</v>
      </c>
      <c r="W47" s="6">
        <f>IF(ISERROR(VLOOKUP($T$47,'TAR FIN'!$A$1:$O$73,15,0)),0,VLOOKUP($T$47,'TAR FIN'!$A$1:$O$73,15,0))</f>
        <v>338.67</v>
      </c>
      <c r="X47" s="6">
        <f>IF(ISERROR(VLOOKUP($U$47,'TAR FIN'!$A$1:$O$73,15,0)),0,VLOOKUP($U$47,'TAR FIN'!$A$1:$O$73,15,0))</f>
        <v>218.32</v>
      </c>
      <c r="Y47" s="6"/>
      <c r="Z47" s="6">
        <f ca="1">('TUSD BE'!$AM$33+'TUSD BF'!$AM$33+'TUSD CVA'!$AM$33)*(1-CUSTOS!$M$38)</f>
        <v>456.92614339322381</v>
      </c>
      <c r="AA47" s="6">
        <f>('TE BE'!$AB$23+'TE BF'!$AB$23+'TE CVA'!$AB$23)*(1-CUSTOS!$M$38)</f>
        <v>180.57465387824652</v>
      </c>
      <c r="AB47" s="6">
        <f t="shared" si="4"/>
        <v>0</v>
      </c>
      <c r="AC47" s="6">
        <f>(L47-M47)*(W47+X47)+($W$2+$X$2-$W$47-$X$47)*(L47)</f>
        <v>2899.3912500000015</v>
      </c>
      <c r="AD47" s="6">
        <f t="shared" si="5"/>
        <v>0</v>
      </c>
      <c r="AE47" s="6">
        <f ca="1">(L47-M47)*(Z47+AA47)+($Z$2+$AA$2-$Z$47-$AA$47)*(L47)</f>
        <v>1553.3995490960642</v>
      </c>
      <c r="AF47" s="4" t="s">
        <v>465</v>
      </c>
    </row>
    <row r="48" spans="1:32" ht="11.25" customHeight="1" x14ac:dyDescent="0.25">
      <c r="A48" s="4" t="s">
        <v>21</v>
      </c>
      <c r="B48" s="4" t="s">
        <v>31</v>
      </c>
      <c r="C48" s="4" t="s">
        <v>23</v>
      </c>
      <c r="D48" s="4" t="s">
        <v>32</v>
      </c>
      <c r="E48" s="4" t="s">
        <v>25</v>
      </c>
      <c r="F48" s="4" t="s">
        <v>25</v>
      </c>
      <c r="G48" s="4" t="s">
        <v>25</v>
      </c>
      <c r="H48" s="4" t="s">
        <v>25</v>
      </c>
      <c r="I48" s="5">
        <v>44562</v>
      </c>
      <c r="J48" s="6">
        <v>0</v>
      </c>
      <c r="K48" s="6">
        <v>0</v>
      </c>
      <c r="L48" s="6">
        <v>526.09400000000005</v>
      </c>
      <c r="M48" s="6">
        <v>526.09400000000005</v>
      </c>
      <c r="N48" s="6">
        <v>526.09400000000005</v>
      </c>
      <c r="O48" s="6">
        <v>526.09400000000005</v>
      </c>
      <c r="P48" s="6">
        <v>1497</v>
      </c>
      <c r="Q48" s="4" t="s">
        <v>26</v>
      </c>
      <c r="R48" s="4">
        <v>0</v>
      </c>
      <c r="S48" s="4">
        <v>0</v>
      </c>
      <c r="T48" s="4">
        <v>41</v>
      </c>
      <c r="U48" s="4">
        <v>39</v>
      </c>
      <c r="V48" s="6">
        <f>IF(ISERROR(VLOOKUP($S$48,'TAR FIN'!$A$1:$O$73,15,0)),0,VLOOKUP($S$48,'TAR FIN'!$A$1:$O$73,15,0))</f>
        <v>0</v>
      </c>
      <c r="W48" s="6">
        <f>IF(ISERROR(VLOOKUP($T$48,'TAR FIN'!$A$1:$O$73,15,0)),0,VLOOKUP($T$48,'TAR FIN'!$A$1:$O$73,15,0))</f>
        <v>338.67</v>
      </c>
      <c r="X48" s="6">
        <f>IF(ISERROR(VLOOKUP($U$48,'TAR FIN'!$A$1:$O$73,15,0)),0,VLOOKUP($U$48,'TAR FIN'!$A$1:$O$73,15,0))</f>
        <v>218.32</v>
      </c>
      <c r="Y48" s="6"/>
      <c r="Z48" s="6">
        <f ca="1">('TUSD BE'!$AM$33+'TUSD BF'!$AM$33+'TUSD CVA'!$AM$33)*(1-CUSTOS!$M$38)</f>
        <v>456.92614339322381</v>
      </c>
      <c r="AA48" s="6">
        <f>('TE BE'!$AB$23+'TE BF'!$AB$23+'TE CVA'!$AB$23)*(1-CUSTOS!$M$38)</f>
        <v>180.57465387824652</v>
      </c>
      <c r="AB48" s="6">
        <f t="shared" si="4"/>
        <v>0</v>
      </c>
      <c r="AC48" s="6">
        <f>(L48-M48)*(W48+X48)+($W$2+$X$2-$W$48-$X$48)*(L48)</f>
        <v>39956.839300000029</v>
      </c>
      <c r="AD48" s="6">
        <f t="shared" si="5"/>
        <v>0</v>
      </c>
      <c r="AE48" s="6">
        <f ca="1">(L48-M48)*(Z48+AA48)+($Z$2+$AA$2-$Z$48-$AA$48)*(L48)</f>
        <v>21407.575177004452</v>
      </c>
      <c r="AF48" s="4" t="s">
        <v>465</v>
      </c>
    </row>
    <row r="49" spans="1:32" ht="11.25" customHeight="1" x14ac:dyDescent="0.25">
      <c r="A49" s="4" t="s">
        <v>27</v>
      </c>
      <c r="B49" s="4" t="s">
        <v>31</v>
      </c>
      <c r="C49" s="4" t="s">
        <v>23</v>
      </c>
      <c r="D49" s="4" t="s">
        <v>32</v>
      </c>
      <c r="E49" s="4" t="s">
        <v>25</v>
      </c>
      <c r="F49" s="4" t="s">
        <v>25</v>
      </c>
      <c r="G49" s="4" t="s">
        <v>25</v>
      </c>
      <c r="H49" s="4" t="s">
        <v>25</v>
      </c>
      <c r="I49" s="5">
        <v>44562</v>
      </c>
      <c r="J49" s="6">
        <v>0</v>
      </c>
      <c r="K49" s="6">
        <v>0</v>
      </c>
      <c r="L49" s="6">
        <v>37.558999999999997</v>
      </c>
      <c r="M49" s="6">
        <v>37.558999999999997</v>
      </c>
      <c r="N49" s="6">
        <v>37.558999999999997</v>
      </c>
      <c r="O49" s="6">
        <v>37.558999999999997</v>
      </c>
      <c r="P49" s="6">
        <v>43</v>
      </c>
      <c r="Q49" s="4" t="s">
        <v>26</v>
      </c>
      <c r="R49" s="4">
        <v>0</v>
      </c>
      <c r="S49" s="4">
        <v>0</v>
      </c>
      <c r="T49" s="4">
        <v>41</v>
      </c>
      <c r="U49" s="4">
        <v>39</v>
      </c>
      <c r="V49" s="6">
        <f>IF(ISERROR(VLOOKUP($S$49,'TAR FIN'!$A$1:$O$73,15,0)),0,VLOOKUP($S$49,'TAR FIN'!$A$1:$O$73,15,0))</f>
        <v>0</v>
      </c>
      <c r="W49" s="6">
        <f>IF(ISERROR(VLOOKUP($T$49,'TAR FIN'!$A$1:$O$73,15,0)),0,VLOOKUP($T$49,'TAR FIN'!$A$1:$O$73,15,0))</f>
        <v>338.67</v>
      </c>
      <c r="X49" s="6">
        <f>IF(ISERROR(VLOOKUP($U$49,'TAR FIN'!$A$1:$O$73,15,0)),0,VLOOKUP($U$49,'TAR FIN'!$A$1:$O$73,15,0))</f>
        <v>218.32</v>
      </c>
      <c r="Y49" s="6"/>
      <c r="Z49" s="6">
        <f ca="1">('TUSD BE'!$AM$33+'TUSD BF'!$AM$33+'TUSD CVA'!$AM$33)*(1-CUSTOS!$M$38)</f>
        <v>456.92614339322381</v>
      </c>
      <c r="AA49" s="6">
        <f>('TE BE'!$AB$23+'TE BF'!$AB$23+'TE CVA'!$AB$23)*(1-CUSTOS!$M$38)</f>
        <v>180.57465387824652</v>
      </c>
      <c r="AB49" s="6">
        <f t="shared" si="4"/>
        <v>0</v>
      </c>
      <c r="AC49" s="6">
        <f>(L49-M49)*(W49+X49)+($W$2+$X$2-$W$49-$X$49)*(L49)</f>
        <v>2852.6060500000017</v>
      </c>
      <c r="AD49" s="6">
        <f t="shared" si="5"/>
        <v>0</v>
      </c>
      <c r="AE49" s="6">
        <f ca="1">(L49-M49)*(Z49+AA49)+($Z$2+$AA$2-$Z$49-$AA$49)*(L49)</f>
        <v>1528.3335603012201</v>
      </c>
      <c r="AF49" s="4" t="s">
        <v>465</v>
      </c>
    </row>
    <row r="50" spans="1:32" ht="11.25" customHeight="1" x14ac:dyDescent="0.25">
      <c r="A50" s="4" t="s">
        <v>21</v>
      </c>
      <c r="B50" s="4" t="s">
        <v>31</v>
      </c>
      <c r="C50" s="4" t="s">
        <v>23</v>
      </c>
      <c r="D50" s="4" t="s">
        <v>32</v>
      </c>
      <c r="E50" s="4" t="s">
        <v>25</v>
      </c>
      <c r="F50" s="4" t="s">
        <v>25</v>
      </c>
      <c r="G50" s="4" t="s">
        <v>25</v>
      </c>
      <c r="H50" s="4" t="s">
        <v>25</v>
      </c>
      <c r="I50" s="5">
        <v>44593</v>
      </c>
      <c r="J50" s="6">
        <v>0</v>
      </c>
      <c r="K50" s="6">
        <v>0</v>
      </c>
      <c r="L50" s="6">
        <v>526.80399999999997</v>
      </c>
      <c r="M50" s="6">
        <v>526.80399999999997</v>
      </c>
      <c r="N50" s="6">
        <v>526.80399999999997</v>
      </c>
      <c r="O50" s="6">
        <v>526.80399999999997</v>
      </c>
      <c r="P50" s="6">
        <v>1496</v>
      </c>
      <c r="Q50" s="4" t="s">
        <v>26</v>
      </c>
      <c r="R50" s="4">
        <v>0</v>
      </c>
      <c r="S50" s="4">
        <v>0</v>
      </c>
      <c r="T50" s="4">
        <v>41</v>
      </c>
      <c r="U50" s="4">
        <v>39</v>
      </c>
      <c r="V50" s="6">
        <f>IF(ISERROR(VLOOKUP($S$50,'TAR FIN'!$A$1:$O$73,15,0)),0,VLOOKUP($S$50,'TAR FIN'!$A$1:$O$73,15,0))</f>
        <v>0</v>
      </c>
      <c r="W50" s="6">
        <f>IF(ISERROR(VLOOKUP($T$50,'TAR FIN'!$A$1:$O$73,15,0)),0,VLOOKUP($T$50,'TAR FIN'!$A$1:$O$73,15,0))</f>
        <v>338.67</v>
      </c>
      <c r="X50" s="6">
        <f>IF(ISERROR(VLOOKUP($U$50,'TAR FIN'!$A$1:$O$73,15,0)),0,VLOOKUP($U$50,'TAR FIN'!$A$1:$O$73,15,0))</f>
        <v>218.32</v>
      </c>
      <c r="Y50" s="6"/>
      <c r="Z50" s="6">
        <f ca="1">('TUSD BE'!$AM$33+'TUSD BF'!$AM$33+'TUSD CVA'!$AM$33)*(1-CUSTOS!$M$38)</f>
        <v>456.92614339322381</v>
      </c>
      <c r="AA50" s="6">
        <f>('TE BE'!$AB$23+'TE BF'!$AB$23+'TE CVA'!$AB$23)*(1-CUSTOS!$M$38)</f>
        <v>180.57465387824652</v>
      </c>
      <c r="AB50" s="6">
        <f t="shared" si="4"/>
        <v>0</v>
      </c>
      <c r="AC50" s="6">
        <f>(L50-M50)*(W50+X50)+($W$2+$X$2-$W$50-$X$50)*(L50)</f>
        <v>40010.763800000022</v>
      </c>
      <c r="AD50" s="6">
        <f t="shared" si="5"/>
        <v>0</v>
      </c>
      <c r="AE50" s="6">
        <f ca="1">(L50-M50)*(Z50+AA50)+($Z$2+$AA$2-$Z$50-$AA$50)*(L50)</f>
        <v>21436.466170582924</v>
      </c>
      <c r="AF50" s="4" t="s">
        <v>465</v>
      </c>
    </row>
    <row r="51" spans="1:32" ht="11.25" customHeight="1" x14ac:dyDescent="0.25">
      <c r="A51" s="4" t="s">
        <v>27</v>
      </c>
      <c r="B51" s="4" t="s">
        <v>31</v>
      </c>
      <c r="C51" s="4" t="s">
        <v>23</v>
      </c>
      <c r="D51" s="4" t="s">
        <v>32</v>
      </c>
      <c r="E51" s="4" t="s">
        <v>25</v>
      </c>
      <c r="F51" s="4" t="s">
        <v>25</v>
      </c>
      <c r="G51" s="4" t="s">
        <v>25</v>
      </c>
      <c r="H51" s="4" t="s">
        <v>25</v>
      </c>
      <c r="I51" s="5">
        <v>44593</v>
      </c>
      <c r="J51" s="6">
        <v>0</v>
      </c>
      <c r="K51" s="6">
        <v>0</v>
      </c>
      <c r="L51" s="6">
        <v>44.088999999999999</v>
      </c>
      <c r="M51" s="6">
        <v>44.088999999999999</v>
      </c>
      <c r="N51" s="6">
        <v>44.088999999999999</v>
      </c>
      <c r="O51" s="6">
        <v>44.088999999999999</v>
      </c>
      <c r="P51" s="6">
        <v>45</v>
      </c>
      <c r="Q51" s="4" t="s">
        <v>26</v>
      </c>
      <c r="R51" s="4">
        <v>0</v>
      </c>
      <c r="S51" s="4">
        <v>0</v>
      </c>
      <c r="T51" s="4">
        <v>41</v>
      </c>
      <c r="U51" s="4">
        <v>39</v>
      </c>
      <c r="V51" s="6">
        <f>IF(ISERROR(VLOOKUP($S$51,'TAR FIN'!$A$1:$O$73,15,0)),0,VLOOKUP($S$51,'TAR FIN'!$A$1:$O$73,15,0))</f>
        <v>0</v>
      </c>
      <c r="W51" s="6">
        <f>IF(ISERROR(VLOOKUP($T$51,'TAR FIN'!$A$1:$O$73,15,0)),0,VLOOKUP($T$51,'TAR FIN'!$A$1:$O$73,15,0))</f>
        <v>338.67</v>
      </c>
      <c r="X51" s="6">
        <f>IF(ISERROR(VLOOKUP($U$51,'TAR FIN'!$A$1:$O$73,15,0)),0,VLOOKUP($U$51,'TAR FIN'!$A$1:$O$73,15,0))</f>
        <v>218.32</v>
      </c>
      <c r="Y51" s="6"/>
      <c r="Z51" s="6">
        <f ca="1">('TUSD BE'!$AM$33+'TUSD BF'!$AM$33+'TUSD CVA'!$AM$33)*(1-CUSTOS!$M$38)</f>
        <v>456.92614339322381</v>
      </c>
      <c r="AA51" s="6">
        <f>('TE BE'!$AB$23+'TE BF'!$AB$23+'TE CVA'!$AB$23)*(1-CUSTOS!$M$38)</f>
        <v>180.57465387824652</v>
      </c>
      <c r="AB51" s="6">
        <f t="shared" si="4"/>
        <v>0</v>
      </c>
      <c r="AC51" s="6">
        <f>(L51-M51)*(W51+X51)+($W$2+$X$2-$W$51-$X$51)*(L51)</f>
        <v>3348.5595500000018</v>
      </c>
      <c r="AD51" s="6">
        <f t="shared" si="5"/>
        <v>0</v>
      </c>
      <c r="AE51" s="6">
        <f ca="1">(L51-M51)*(Z51+AA51)+($Z$2+$AA$2-$Z$51-$AA$51)*(L51)</f>
        <v>1794.0493181426689</v>
      </c>
      <c r="AF51" s="4" t="s">
        <v>465</v>
      </c>
    </row>
    <row r="52" spans="1:32" ht="11.25" customHeight="1" x14ac:dyDescent="0.25">
      <c r="A52" s="4" t="s">
        <v>21</v>
      </c>
      <c r="B52" s="4" t="s">
        <v>31</v>
      </c>
      <c r="C52" s="4" t="s">
        <v>23</v>
      </c>
      <c r="D52" s="4" t="s">
        <v>32</v>
      </c>
      <c r="E52" s="4" t="s">
        <v>25</v>
      </c>
      <c r="F52" s="4" t="s">
        <v>25</v>
      </c>
      <c r="G52" s="4" t="s">
        <v>25</v>
      </c>
      <c r="H52" s="4" t="s">
        <v>25</v>
      </c>
      <c r="I52" s="5">
        <v>44621</v>
      </c>
      <c r="J52" s="6">
        <v>0</v>
      </c>
      <c r="K52" s="6">
        <v>0</v>
      </c>
      <c r="L52" s="6">
        <v>514.68700000000001</v>
      </c>
      <c r="M52" s="6">
        <v>514.68700000000001</v>
      </c>
      <c r="N52" s="6">
        <v>514.68700000000001</v>
      </c>
      <c r="O52" s="6">
        <v>514.68700000000001</v>
      </c>
      <c r="P52" s="6">
        <v>1472</v>
      </c>
      <c r="Q52" s="4" t="s">
        <v>26</v>
      </c>
      <c r="R52" s="4">
        <v>0</v>
      </c>
      <c r="S52" s="4">
        <v>0</v>
      </c>
      <c r="T52" s="4">
        <v>41</v>
      </c>
      <c r="U52" s="4">
        <v>39</v>
      </c>
      <c r="V52" s="6">
        <f>IF(ISERROR(VLOOKUP($S$52,'TAR FIN'!$A$1:$O$73,15,0)),0,VLOOKUP($S$52,'TAR FIN'!$A$1:$O$73,15,0))</f>
        <v>0</v>
      </c>
      <c r="W52" s="6">
        <f>IF(ISERROR(VLOOKUP($T$52,'TAR FIN'!$A$1:$O$73,15,0)),0,VLOOKUP($T$52,'TAR FIN'!$A$1:$O$73,15,0))</f>
        <v>338.67</v>
      </c>
      <c r="X52" s="6">
        <f>IF(ISERROR(VLOOKUP($U$52,'TAR FIN'!$A$1:$O$73,15,0)),0,VLOOKUP($U$52,'TAR FIN'!$A$1:$O$73,15,0))</f>
        <v>218.32</v>
      </c>
      <c r="Y52" s="6"/>
      <c r="Z52" s="6">
        <f ca="1">('TUSD BE'!$AM$33+'TUSD BF'!$AM$33+'TUSD CVA'!$AM$33)*(1-CUSTOS!$M$38)</f>
        <v>456.92614339322381</v>
      </c>
      <c r="AA52" s="6">
        <f>('TE BE'!$AB$23+'TE BF'!$AB$23+'TE CVA'!$AB$23)*(1-CUSTOS!$M$38)</f>
        <v>180.57465387824652</v>
      </c>
      <c r="AB52" s="6">
        <f t="shared" si="4"/>
        <v>0</v>
      </c>
      <c r="AC52" s="6">
        <f>(L52-M52)*(W52+X52)+($W$2+$X$2-$W$52-$X$52)*(L52)</f>
        <v>39090.477650000023</v>
      </c>
      <c r="AD52" s="6">
        <f t="shared" si="5"/>
        <v>0</v>
      </c>
      <c r="AE52" s="6">
        <f ca="1">(L52-M52)*(Z52+AA52)+($Z$2+$AA$2-$Z$52-$AA$52)*(L52)</f>
        <v>20943.406777357068</v>
      </c>
      <c r="AF52" s="4" t="s">
        <v>465</v>
      </c>
    </row>
    <row r="53" spans="1:32" ht="11.25" customHeight="1" x14ac:dyDescent="0.25">
      <c r="A53" s="4" t="s">
        <v>27</v>
      </c>
      <c r="B53" s="4" t="s">
        <v>31</v>
      </c>
      <c r="C53" s="4" t="s">
        <v>23</v>
      </c>
      <c r="D53" s="4" t="s">
        <v>32</v>
      </c>
      <c r="E53" s="4" t="s">
        <v>25</v>
      </c>
      <c r="F53" s="4" t="s">
        <v>25</v>
      </c>
      <c r="G53" s="4" t="s">
        <v>25</v>
      </c>
      <c r="H53" s="4" t="s">
        <v>25</v>
      </c>
      <c r="I53" s="5">
        <v>44621</v>
      </c>
      <c r="J53" s="6">
        <v>0</v>
      </c>
      <c r="K53" s="6">
        <v>0</v>
      </c>
      <c r="L53" s="6">
        <v>45.033999999999999</v>
      </c>
      <c r="M53" s="6">
        <v>45.033999999999999</v>
      </c>
      <c r="N53" s="6">
        <v>45.033999999999999</v>
      </c>
      <c r="O53" s="6">
        <v>45.033999999999999</v>
      </c>
      <c r="P53" s="6">
        <v>50</v>
      </c>
      <c r="Q53" s="4" t="s">
        <v>26</v>
      </c>
      <c r="R53" s="4">
        <v>0</v>
      </c>
      <c r="S53" s="4">
        <v>0</v>
      </c>
      <c r="T53" s="4">
        <v>41</v>
      </c>
      <c r="U53" s="4">
        <v>39</v>
      </c>
      <c r="V53" s="6">
        <f>IF(ISERROR(VLOOKUP($S$53,'TAR FIN'!$A$1:$O$73,15,0)),0,VLOOKUP($S$53,'TAR FIN'!$A$1:$O$73,15,0))</f>
        <v>0</v>
      </c>
      <c r="W53" s="6">
        <f>IF(ISERROR(VLOOKUP($T$53,'TAR FIN'!$A$1:$O$73,15,0)),0,VLOOKUP($T$53,'TAR FIN'!$A$1:$O$73,15,0))</f>
        <v>338.67</v>
      </c>
      <c r="X53" s="6">
        <f>IF(ISERROR(VLOOKUP($U$53,'TAR FIN'!$A$1:$O$73,15,0)),0,VLOOKUP($U$53,'TAR FIN'!$A$1:$O$73,15,0))</f>
        <v>218.32</v>
      </c>
      <c r="Y53" s="6"/>
      <c r="Z53" s="6">
        <f ca="1">('TUSD BE'!$AM$33+'TUSD BF'!$AM$33+'TUSD CVA'!$AM$33)*(1-CUSTOS!$M$38)</f>
        <v>456.92614339322381</v>
      </c>
      <c r="AA53" s="6">
        <f>('TE BE'!$AB$23+'TE BF'!$AB$23+'TE CVA'!$AB$23)*(1-CUSTOS!$M$38)</f>
        <v>180.57465387824652</v>
      </c>
      <c r="AB53" s="6">
        <f t="shared" si="4"/>
        <v>0</v>
      </c>
      <c r="AC53" s="6">
        <f>(L53-M53)*(W53+X53)+($W$2+$X$2-$W$53-$X$53)*(L53)</f>
        <v>3420.3323000000019</v>
      </c>
      <c r="AD53" s="6">
        <f t="shared" si="5"/>
        <v>0</v>
      </c>
      <c r="AE53" s="6">
        <f ca="1">(L53-M53)*(Z53+AA53)+($Z$2+$AA$2-$Z$53-$AA$53)*(L53)</f>
        <v>1832.5028236802139</v>
      </c>
      <c r="AF53" s="4" t="s">
        <v>465</v>
      </c>
    </row>
    <row r="54" spans="1:32" ht="11.25" customHeight="1" x14ac:dyDescent="0.25">
      <c r="A54" s="4" t="s">
        <v>21</v>
      </c>
      <c r="B54" s="4" t="s">
        <v>31</v>
      </c>
      <c r="C54" s="4" t="s">
        <v>23</v>
      </c>
      <c r="D54" s="4" t="s">
        <v>32</v>
      </c>
      <c r="E54" s="4" t="s">
        <v>25</v>
      </c>
      <c r="F54" s="4" t="s">
        <v>25</v>
      </c>
      <c r="G54" s="4" t="s">
        <v>25</v>
      </c>
      <c r="H54" s="4" t="s">
        <v>25</v>
      </c>
      <c r="I54" s="5">
        <v>44652</v>
      </c>
      <c r="J54" s="6">
        <v>0</v>
      </c>
      <c r="K54" s="6">
        <v>0</v>
      </c>
      <c r="L54" s="6">
        <v>459.70800000000003</v>
      </c>
      <c r="M54" s="6">
        <v>459.70800000000003</v>
      </c>
      <c r="N54" s="6">
        <v>459.70800000000003</v>
      </c>
      <c r="O54" s="6">
        <v>459.70800000000003</v>
      </c>
      <c r="P54" s="6">
        <v>1423</v>
      </c>
      <c r="Q54" s="4" t="s">
        <v>26</v>
      </c>
      <c r="R54" s="4">
        <v>0</v>
      </c>
      <c r="S54" s="4">
        <v>0</v>
      </c>
      <c r="T54" s="4">
        <v>41</v>
      </c>
      <c r="U54" s="4">
        <v>39</v>
      </c>
      <c r="V54" s="6">
        <f>IF(ISERROR(VLOOKUP($S$54,'TAR FIN'!$A$1:$O$73,15,0)),0,VLOOKUP($S$54,'TAR FIN'!$A$1:$O$73,15,0))</f>
        <v>0</v>
      </c>
      <c r="W54" s="6">
        <f>IF(ISERROR(VLOOKUP($T$54,'TAR FIN'!$A$1:$O$73,15,0)),0,VLOOKUP($T$54,'TAR FIN'!$A$1:$O$73,15,0))</f>
        <v>338.67</v>
      </c>
      <c r="X54" s="6">
        <f>IF(ISERROR(VLOOKUP($U$54,'TAR FIN'!$A$1:$O$73,15,0)),0,VLOOKUP($U$54,'TAR FIN'!$A$1:$O$73,15,0))</f>
        <v>218.32</v>
      </c>
      <c r="Y54" s="6"/>
      <c r="Z54" s="6">
        <f ca="1">('TUSD BE'!$AM$33+'TUSD BF'!$AM$33+'TUSD CVA'!$AM$33)*(1-CUSTOS!$M$38)</f>
        <v>456.92614339322381</v>
      </c>
      <c r="AA54" s="6">
        <f>('TE BE'!$AB$23+'TE BF'!$AB$23+'TE CVA'!$AB$23)*(1-CUSTOS!$M$38)</f>
        <v>180.57465387824652</v>
      </c>
      <c r="AB54" s="6">
        <f t="shared" si="4"/>
        <v>0</v>
      </c>
      <c r="AC54" s="6">
        <f>(L54-M54)*(W54+X54)+($W$2+$X$2-$W$54-$X$54)*(L54)</f>
        <v>34914.822600000021</v>
      </c>
      <c r="AD54" s="6">
        <f t="shared" si="5"/>
        <v>0</v>
      </c>
      <c r="AE54" s="6">
        <f ca="1">(L54-M54)*(Z54+AA54)+($Z$2+$AA$2-$Z$54-$AA$54)*(L54)</f>
        <v>18706.226585876979</v>
      </c>
      <c r="AF54" s="4" t="s">
        <v>465</v>
      </c>
    </row>
    <row r="55" spans="1:32" ht="11.25" customHeight="1" x14ac:dyDescent="0.25">
      <c r="A55" s="4" t="s">
        <v>27</v>
      </c>
      <c r="B55" s="4" t="s">
        <v>31</v>
      </c>
      <c r="C55" s="4" t="s">
        <v>23</v>
      </c>
      <c r="D55" s="4" t="s">
        <v>32</v>
      </c>
      <c r="E55" s="4" t="s">
        <v>25</v>
      </c>
      <c r="F55" s="4" t="s">
        <v>25</v>
      </c>
      <c r="G55" s="4" t="s">
        <v>25</v>
      </c>
      <c r="H55" s="4" t="s">
        <v>25</v>
      </c>
      <c r="I55" s="5">
        <v>44652</v>
      </c>
      <c r="J55" s="6">
        <v>0</v>
      </c>
      <c r="K55" s="6">
        <v>0</v>
      </c>
      <c r="L55" s="6">
        <v>40.585999999999999</v>
      </c>
      <c r="M55" s="6">
        <v>40.585999999999999</v>
      </c>
      <c r="N55" s="6">
        <v>40.585999999999999</v>
      </c>
      <c r="O55" s="6">
        <v>40.585999999999999</v>
      </c>
      <c r="P55" s="6">
        <v>53</v>
      </c>
      <c r="Q55" s="4" t="s">
        <v>26</v>
      </c>
      <c r="R55" s="4">
        <v>0</v>
      </c>
      <c r="S55" s="4">
        <v>0</v>
      </c>
      <c r="T55" s="4">
        <v>41</v>
      </c>
      <c r="U55" s="4">
        <v>39</v>
      </c>
      <c r="V55" s="6">
        <f>IF(ISERROR(VLOOKUP($S$55,'TAR FIN'!$A$1:$O$73,15,0)),0,VLOOKUP($S$55,'TAR FIN'!$A$1:$O$73,15,0))</f>
        <v>0</v>
      </c>
      <c r="W55" s="6">
        <f>IF(ISERROR(VLOOKUP($T$55,'TAR FIN'!$A$1:$O$73,15,0)),0,VLOOKUP($T$55,'TAR FIN'!$A$1:$O$73,15,0))</f>
        <v>338.67</v>
      </c>
      <c r="X55" s="6">
        <f>IF(ISERROR(VLOOKUP($U$55,'TAR FIN'!$A$1:$O$73,15,0)),0,VLOOKUP($U$55,'TAR FIN'!$A$1:$O$73,15,0))</f>
        <v>218.32</v>
      </c>
      <c r="Y55" s="6"/>
      <c r="Z55" s="6">
        <f ca="1">('TUSD BE'!$AM$33+'TUSD BF'!$AM$33+'TUSD CVA'!$AM$33)*(1-CUSTOS!$M$38)</f>
        <v>456.92614339322381</v>
      </c>
      <c r="AA55" s="6">
        <f>('TE BE'!$AB$23+'TE BF'!$AB$23+'TE CVA'!$AB$23)*(1-CUSTOS!$M$38)</f>
        <v>180.57465387824652</v>
      </c>
      <c r="AB55" s="6">
        <f t="shared" si="4"/>
        <v>0</v>
      </c>
      <c r="AC55" s="6">
        <f>(L55-M55)*(W55+X55)+($W$2+$X$2-$W$55-$X$55)*(L55)</f>
        <v>3082.5067000000017</v>
      </c>
      <c r="AD55" s="6">
        <f t="shared" si="5"/>
        <v>0</v>
      </c>
      <c r="AE55" s="6">
        <f ca="1">(L55-M55)*(Z55+AA55)+($Z$2+$AA$2-$Z$55-$AA$55)*(L55)</f>
        <v>1651.5068526421182</v>
      </c>
      <c r="AF55" s="4" t="s">
        <v>465</v>
      </c>
    </row>
    <row r="56" spans="1:32" ht="11.25" customHeight="1" x14ac:dyDescent="0.25">
      <c r="A56" s="4" t="s">
        <v>21</v>
      </c>
      <c r="B56" s="4" t="s">
        <v>31</v>
      </c>
      <c r="C56" s="4" t="s">
        <v>23</v>
      </c>
      <c r="D56" s="4" t="s">
        <v>32</v>
      </c>
      <c r="E56" s="4" t="s">
        <v>25</v>
      </c>
      <c r="F56" s="4" t="s">
        <v>25</v>
      </c>
      <c r="G56" s="4" t="s">
        <v>25</v>
      </c>
      <c r="H56" s="4" t="s">
        <v>25</v>
      </c>
      <c r="I56" s="5">
        <v>44682</v>
      </c>
      <c r="J56" s="6">
        <v>0</v>
      </c>
      <c r="K56" s="6">
        <v>0</v>
      </c>
      <c r="L56" s="6">
        <v>425.97399999999999</v>
      </c>
      <c r="M56" s="6">
        <v>425.97399999999999</v>
      </c>
      <c r="N56" s="6">
        <v>425.97399999999999</v>
      </c>
      <c r="O56" s="6">
        <v>425.97399999999999</v>
      </c>
      <c r="P56" s="6">
        <v>1419</v>
      </c>
      <c r="Q56" s="4" t="s">
        <v>26</v>
      </c>
      <c r="R56" s="4">
        <v>0</v>
      </c>
      <c r="S56" s="4">
        <v>0</v>
      </c>
      <c r="T56" s="4">
        <v>41</v>
      </c>
      <c r="U56" s="4">
        <v>39</v>
      </c>
      <c r="V56" s="6">
        <f>IF(ISERROR(VLOOKUP($S$56,'TAR FIN'!$A$1:$O$73,15,0)),0,VLOOKUP($S$56,'TAR FIN'!$A$1:$O$73,15,0))</f>
        <v>0</v>
      </c>
      <c r="W56" s="6">
        <f>IF(ISERROR(VLOOKUP($T$56,'TAR FIN'!$A$1:$O$73,15,0)),0,VLOOKUP($T$56,'TAR FIN'!$A$1:$O$73,15,0))</f>
        <v>338.67</v>
      </c>
      <c r="X56" s="6">
        <f>IF(ISERROR(VLOOKUP($U$56,'TAR FIN'!$A$1:$O$73,15,0)),0,VLOOKUP($U$56,'TAR FIN'!$A$1:$O$73,15,0))</f>
        <v>218.32</v>
      </c>
      <c r="Y56" s="6"/>
      <c r="Z56" s="6">
        <f ca="1">('TUSD BE'!$AM$33+'TUSD BF'!$AM$33+'TUSD CVA'!$AM$33)*(1-CUSTOS!$M$38)</f>
        <v>456.92614339322381</v>
      </c>
      <c r="AA56" s="6">
        <f>('TE BE'!$AB$23+'TE BF'!$AB$23+'TE CVA'!$AB$23)*(1-CUSTOS!$M$38)</f>
        <v>180.57465387824652</v>
      </c>
      <c r="AB56" s="6">
        <f t="shared" si="4"/>
        <v>0</v>
      </c>
      <c r="AC56" s="6">
        <f>(L56-M56)*(W56+X56)+($W$2+$X$2-$W$56-$X$56)*(L56)</f>
        <v>32352.72530000002</v>
      </c>
      <c r="AD56" s="6">
        <f t="shared" si="5"/>
        <v>0</v>
      </c>
      <c r="AE56" s="6">
        <f ca="1">(L56-M56)*(Z56+AA56)+($Z$2+$AA$2-$Z$56-$AA$56)*(L56)</f>
        <v>17333.538167037248</v>
      </c>
      <c r="AF56" s="4" t="s">
        <v>465</v>
      </c>
    </row>
    <row r="57" spans="1:32" ht="11.25" customHeight="1" x14ac:dyDescent="0.25">
      <c r="A57" s="4" t="s">
        <v>27</v>
      </c>
      <c r="B57" s="4" t="s">
        <v>31</v>
      </c>
      <c r="C57" s="4" t="s">
        <v>23</v>
      </c>
      <c r="D57" s="4" t="s">
        <v>32</v>
      </c>
      <c r="E57" s="4" t="s">
        <v>25</v>
      </c>
      <c r="F57" s="4" t="s">
        <v>25</v>
      </c>
      <c r="G57" s="4" t="s">
        <v>25</v>
      </c>
      <c r="H57" s="4" t="s">
        <v>25</v>
      </c>
      <c r="I57" s="5">
        <v>44682</v>
      </c>
      <c r="J57" s="6">
        <v>0</v>
      </c>
      <c r="K57" s="6">
        <v>0</v>
      </c>
      <c r="L57" s="6">
        <v>42.883000000000003</v>
      </c>
      <c r="M57" s="6">
        <v>42.883000000000003</v>
      </c>
      <c r="N57" s="6">
        <v>42.883000000000003</v>
      </c>
      <c r="O57" s="6">
        <v>42.883000000000003</v>
      </c>
      <c r="P57" s="6">
        <v>55</v>
      </c>
      <c r="Q57" s="4" t="s">
        <v>26</v>
      </c>
      <c r="R57" s="4">
        <v>0</v>
      </c>
      <c r="S57" s="4">
        <v>0</v>
      </c>
      <c r="T57" s="4">
        <v>41</v>
      </c>
      <c r="U57" s="4">
        <v>39</v>
      </c>
      <c r="V57" s="6">
        <f>IF(ISERROR(VLOOKUP($S$57,'TAR FIN'!$A$1:$O$73,15,0)),0,VLOOKUP($S$57,'TAR FIN'!$A$1:$O$73,15,0))</f>
        <v>0</v>
      </c>
      <c r="W57" s="6">
        <f>IF(ISERROR(VLOOKUP($T$57,'TAR FIN'!$A$1:$O$73,15,0)),0,VLOOKUP($T$57,'TAR FIN'!$A$1:$O$73,15,0))</f>
        <v>338.67</v>
      </c>
      <c r="X57" s="6">
        <f>IF(ISERROR(VLOOKUP($U$57,'TAR FIN'!$A$1:$O$73,15,0)),0,VLOOKUP($U$57,'TAR FIN'!$A$1:$O$73,15,0))</f>
        <v>218.32</v>
      </c>
      <c r="Y57" s="6"/>
      <c r="Z57" s="6">
        <f ca="1">('TUSD BE'!$AM$33+'TUSD BF'!$AM$33+'TUSD CVA'!$AM$33)*(1-CUSTOS!$M$38)</f>
        <v>456.92614339322381</v>
      </c>
      <c r="AA57" s="6">
        <f>('TE BE'!$AB$23+'TE BF'!$AB$23+'TE CVA'!$AB$23)*(1-CUSTOS!$M$38)</f>
        <v>180.57465387824652</v>
      </c>
      <c r="AB57" s="6">
        <f t="shared" si="4"/>
        <v>0</v>
      </c>
      <c r="AC57" s="6">
        <f>(L57-M57)*(W57+X57)+($W$2+$X$2-$W$57-$X$57)*(L57)</f>
        <v>3256.9638500000024</v>
      </c>
      <c r="AD57" s="6">
        <f t="shared" si="5"/>
        <v>0</v>
      </c>
      <c r="AE57" s="6">
        <f ca="1">(L57-M57)*(Z57+AA57)+($Z$2+$AA$2-$Z$57-$AA$57)*(L57)</f>
        <v>1744.9753205995162</v>
      </c>
      <c r="AF57" s="4" t="s">
        <v>465</v>
      </c>
    </row>
    <row r="58" spans="1:32" ht="11.25" customHeight="1" x14ac:dyDescent="0.25">
      <c r="A58" s="4" t="s">
        <v>21</v>
      </c>
      <c r="B58" s="4" t="s">
        <v>31</v>
      </c>
      <c r="C58" s="4" t="s">
        <v>23</v>
      </c>
      <c r="D58" s="4" t="s">
        <v>32</v>
      </c>
      <c r="E58" s="4" t="s">
        <v>25</v>
      </c>
      <c r="F58" s="4" t="s">
        <v>25</v>
      </c>
      <c r="G58" s="4" t="s">
        <v>25</v>
      </c>
      <c r="H58" s="4" t="s">
        <v>25</v>
      </c>
      <c r="I58" s="5">
        <v>44713</v>
      </c>
      <c r="J58" s="6">
        <v>0</v>
      </c>
      <c r="K58" s="6">
        <v>0</v>
      </c>
      <c r="L58" s="6">
        <v>466.97800000000001</v>
      </c>
      <c r="M58" s="6">
        <v>466.97800000000001</v>
      </c>
      <c r="N58" s="6">
        <v>466.97800000000001</v>
      </c>
      <c r="O58" s="6">
        <v>466.97800000000001</v>
      </c>
      <c r="P58" s="6">
        <v>1419</v>
      </c>
      <c r="Q58" s="4" t="s">
        <v>26</v>
      </c>
      <c r="R58" s="4">
        <v>0</v>
      </c>
      <c r="S58" s="4">
        <v>0</v>
      </c>
      <c r="T58" s="4">
        <v>41</v>
      </c>
      <c r="U58" s="4">
        <v>39</v>
      </c>
      <c r="V58" s="6">
        <f>IF(ISERROR(VLOOKUP($S$58,'TAR FIN'!$A$1:$O$73,15,0)),0,VLOOKUP($S$58,'TAR FIN'!$A$1:$O$73,15,0))</f>
        <v>0</v>
      </c>
      <c r="W58" s="6">
        <f>IF(ISERROR(VLOOKUP($T$58,'TAR FIN'!$A$1:$O$73,15,0)),0,VLOOKUP($T$58,'TAR FIN'!$A$1:$O$73,15,0))</f>
        <v>338.67</v>
      </c>
      <c r="X58" s="6">
        <f>IF(ISERROR(VLOOKUP($U$58,'TAR FIN'!$A$1:$O$73,15,0)),0,VLOOKUP($U$58,'TAR FIN'!$A$1:$O$73,15,0))</f>
        <v>218.32</v>
      </c>
      <c r="Y58" s="6"/>
      <c r="Z58" s="6">
        <f ca="1">('TUSD BE'!$AM$33+'TUSD BF'!$AM$33+'TUSD CVA'!$AM$33)*(1-CUSTOS!$M$38)</f>
        <v>456.92614339322381</v>
      </c>
      <c r="AA58" s="6">
        <f>('TE BE'!$AB$23+'TE BF'!$AB$23+'TE CVA'!$AB$23)*(1-CUSTOS!$M$38)</f>
        <v>180.57465387824652</v>
      </c>
      <c r="AB58" s="6">
        <f t="shared" si="4"/>
        <v>0</v>
      </c>
      <c r="AC58" s="6">
        <f>(L58-M58)*(W58+X58)+($W$2+$X$2-$W$58-$X$58)*(L58)</f>
        <v>35466.979100000019</v>
      </c>
      <c r="AD58" s="6">
        <f t="shared" si="5"/>
        <v>0</v>
      </c>
      <c r="AE58" s="6">
        <f ca="1">(L58-M58)*(Z58+AA58)+($Z$2+$AA$2-$Z$58-$AA$58)*(L58)</f>
        <v>19002.054083504441</v>
      </c>
      <c r="AF58" s="4" t="s">
        <v>465</v>
      </c>
    </row>
    <row r="59" spans="1:32" ht="11.25" customHeight="1" x14ac:dyDescent="0.25">
      <c r="A59" s="4" t="s">
        <v>27</v>
      </c>
      <c r="B59" s="4" t="s">
        <v>31</v>
      </c>
      <c r="C59" s="4" t="s">
        <v>23</v>
      </c>
      <c r="D59" s="4" t="s">
        <v>32</v>
      </c>
      <c r="E59" s="4" t="s">
        <v>25</v>
      </c>
      <c r="F59" s="4" t="s">
        <v>25</v>
      </c>
      <c r="G59" s="4" t="s">
        <v>25</v>
      </c>
      <c r="H59" s="4" t="s">
        <v>25</v>
      </c>
      <c r="I59" s="5">
        <v>44713</v>
      </c>
      <c r="J59" s="6">
        <v>0</v>
      </c>
      <c r="K59" s="6">
        <v>0</v>
      </c>
      <c r="L59" s="6">
        <v>38.088999999999999</v>
      </c>
      <c r="M59" s="6">
        <v>38.088999999999999</v>
      </c>
      <c r="N59" s="6">
        <v>38.088999999999999</v>
      </c>
      <c r="O59" s="6">
        <v>38.088999999999999</v>
      </c>
      <c r="P59" s="6">
        <v>56</v>
      </c>
      <c r="Q59" s="4" t="s">
        <v>26</v>
      </c>
      <c r="R59" s="4">
        <v>0</v>
      </c>
      <c r="S59" s="4">
        <v>0</v>
      </c>
      <c r="T59" s="4">
        <v>41</v>
      </c>
      <c r="U59" s="4">
        <v>39</v>
      </c>
      <c r="V59" s="6">
        <f>IF(ISERROR(VLOOKUP($S$59,'TAR FIN'!$A$1:$O$73,15,0)),0,VLOOKUP($S$59,'TAR FIN'!$A$1:$O$73,15,0))</f>
        <v>0</v>
      </c>
      <c r="W59" s="6">
        <f>IF(ISERROR(VLOOKUP($T$59,'TAR FIN'!$A$1:$O$73,15,0)),0,VLOOKUP($T$59,'TAR FIN'!$A$1:$O$73,15,0))</f>
        <v>338.67</v>
      </c>
      <c r="X59" s="6">
        <f>IF(ISERROR(VLOOKUP($U$59,'TAR FIN'!$A$1:$O$73,15,0)),0,VLOOKUP($U$59,'TAR FIN'!$A$1:$O$73,15,0))</f>
        <v>218.32</v>
      </c>
      <c r="Y59" s="6"/>
      <c r="Z59" s="6">
        <f ca="1">('TUSD BE'!$AM$33+'TUSD BF'!$AM$33+'TUSD CVA'!$AM$33)*(1-CUSTOS!$M$38)</f>
        <v>456.92614339322381</v>
      </c>
      <c r="AA59" s="6">
        <f>('TE BE'!$AB$23+'TE BF'!$AB$23+'TE CVA'!$AB$23)*(1-CUSTOS!$M$38)</f>
        <v>180.57465387824652</v>
      </c>
      <c r="AB59" s="6">
        <f t="shared" si="4"/>
        <v>0</v>
      </c>
      <c r="AC59" s="6">
        <f>(L59-M59)*(W59+X59)+($W$2+$X$2-$W$59-$X$59)*(L59)</f>
        <v>2892.8595500000015</v>
      </c>
      <c r="AD59" s="6">
        <f t="shared" si="5"/>
        <v>0</v>
      </c>
      <c r="AE59" s="6">
        <f ca="1">(L59-M59)*(Z59+AA59)+($Z$2+$AA$2-$Z$59-$AA$59)*(L59)</f>
        <v>1549.9000766344466</v>
      </c>
      <c r="AF59" s="4" t="s">
        <v>465</v>
      </c>
    </row>
    <row r="60" spans="1:32" ht="11.25" customHeight="1" x14ac:dyDescent="0.25">
      <c r="A60" s="4" t="s">
        <v>21</v>
      </c>
      <c r="B60" s="4" t="s">
        <v>31</v>
      </c>
      <c r="C60" s="4" t="s">
        <v>23</v>
      </c>
      <c r="D60" s="4" t="s">
        <v>32</v>
      </c>
      <c r="E60" s="4" t="s">
        <v>25</v>
      </c>
      <c r="F60" s="4" t="s">
        <v>25</v>
      </c>
      <c r="G60" s="4" t="s">
        <v>25</v>
      </c>
      <c r="H60" s="4" t="s">
        <v>25</v>
      </c>
      <c r="I60" s="5">
        <v>44743</v>
      </c>
      <c r="J60" s="6">
        <v>0</v>
      </c>
      <c r="K60" s="6">
        <v>0</v>
      </c>
      <c r="L60" s="6">
        <v>445.42899999999997</v>
      </c>
      <c r="M60" s="6">
        <v>445.42899999999997</v>
      </c>
      <c r="N60" s="6">
        <v>445.42899999999997</v>
      </c>
      <c r="O60" s="6">
        <v>445.42899999999997</v>
      </c>
      <c r="P60" s="6">
        <v>1413</v>
      </c>
      <c r="Q60" s="4" t="s">
        <v>26</v>
      </c>
      <c r="R60" s="4">
        <v>0</v>
      </c>
      <c r="S60" s="4">
        <v>0</v>
      </c>
      <c r="T60" s="4">
        <v>41</v>
      </c>
      <c r="U60" s="4">
        <v>39</v>
      </c>
      <c r="V60" s="6">
        <f>IF(ISERROR(VLOOKUP($S$60,'TAR FIN'!$A$1:$O$73,15,0)),0,VLOOKUP($S$60,'TAR FIN'!$A$1:$O$73,15,0))</f>
        <v>0</v>
      </c>
      <c r="W60" s="6">
        <f>IF(ISERROR(VLOOKUP($T$60,'TAR FIN'!$A$1:$O$73,15,0)),0,VLOOKUP($T$60,'TAR FIN'!$A$1:$O$73,15,0))</f>
        <v>338.67</v>
      </c>
      <c r="X60" s="6">
        <f>IF(ISERROR(VLOOKUP($U$60,'TAR FIN'!$A$1:$O$73,15,0)),0,VLOOKUP($U$60,'TAR FIN'!$A$1:$O$73,15,0))</f>
        <v>218.32</v>
      </c>
      <c r="Y60" s="6"/>
      <c r="Z60" s="6">
        <f ca="1">('TUSD BE'!$AM$33+'TUSD BF'!$AM$33+'TUSD CVA'!$AM$33)*(1-CUSTOS!$M$38)</f>
        <v>456.92614339322381</v>
      </c>
      <c r="AA60" s="6">
        <f>('TE BE'!$AB$23+'TE BF'!$AB$23+'TE CVA'!$AB$23)*(1-CUSTOS!$M$38)</f>
        <v>180.57465387824652</v>
      </c>
      <c r="AB60" s="6">
        <f t="shared" si="4"/>
        <v>0</v>
      </c>
      <c r="AC60" s="6">
        <f>(L60-M60)*(W60+X60)+($W$2+$X$2-$W$60-$X$60)*(L60)</f>
        <v>33830.332550000021</v>
      </c>
      <c r="AD60" s="6">
        <f t="shared" si="5"/>
        <v>0</v>
      </c>
      <c r="AE60" s="6">
        <f ca="1">(L60-M60)*(Z60+AA60)+($Z$2+$AA$2-$Z$60-$AA$60)*(L60)</f>
        <v>18125.192082627658</v>
      </c>
      <c r="AF60" s="4" t="s">
        <v>465</v>
      </c>
    </row>
    <row r="61" spans="1:32" ht="11.25" customHeight="1" x14ac:dyDescent="0.25">
      <c r="A61" s="4" t="s">
        <v>27</v>
      </c>
      <c r="B61" s="4" t="s">
        <v>31</v>
      </c>
      <c r="C61" s="4" t="s">
        <v>23</v>
      </c>
      <c r="D61" s="4" t="s">
        <v>32</v>
      </c>
      <c r="E61" s="4" t="s">
        <v>25</v>
      </c>
      <c r="F61" s="4" t="s">
        <v>25</v>
      </c>
      <c r="G61" s="4" t="s">
        <v>25</v>
      </c>
      <c r="H61" s="4" t="s">
        <v>25</v>
      </c>
      <c r="I61" s="5">
        <v>44743</v>
      </c>
      <c r="J61" s="6">
        <v>0</v>
      </c>
      <c r="K61" s="6">
        <v>0</v>
      </c>
      <c r="L61" s="6">
        <v>34.158000000000001</v>
      </c>
      <c r="M61" s="6">
        <v>34.158000000000001</v>
      </c>
      <c r="N61" s="6">
        <v>34.158000000000001</v>
      </c>
      <c r="O61" s="6">
        <v>34.158000000000001</v>
      </c>
      <c r="P61" s="6">
        <v>59</v>
      </c>
      <c r="Q61" s="4" t="s">
        <v>26</v>
      </c>
      <c r="R61" s="4">
        <v>0</v>
      </c>
      <c r="S61" s="4">
        <v>0</v>
      </c>
      <c r="T61" s="4">
        <v>41</v>
      </c>
      <c r="U61" s="4">
        <v>39</v>
      </c>
      <c r="V61" s="6">
        <f>IF(ISERROR(VLOOKUP($S$61,'TAR FIN'!$A$1:$O$73,15,0)),0,VLOOKUP($S$61,'TAR FIN'!$A$1:$O$73,15,0))</f>
        <v>0</v>
      </c>
      <c r="W61" s="6">
        <f>IF(ISERROR(VLOOKUP($T$61,'TAR FIN'!$A$1:$O$73,15,0)),0,VLOOKUP($T$61,'TAR FIN'!$A$1:$O$73,15,0))</f>
        <v>338.67</v>
      </c>
      <c r="X61" s="6">
        <f>IF(ISERROR(VLOOKUP($U$61,'TAR FIN'!$A$1:$O$73,15,0)),0,VLOOKUP($U$61,'TAR FIN'!$A$1:$O$73,15,0))</f>
        <v>218.32</v>
      </c>
      <c r="Y61" s="6"/>
      <c r="Z61" s="6">
        <f ca="1">('TUSD BE'!$AM$33+'TUSD BF'!$AM$33+'TUSD CVA'!$AM$33)*(1-CUSTOS!$M$38)</f>
        <v>456.92614339322381</v>
      </c>
      <c r="AA61" s="6">
        <f>('TE BE'!$AB$23+'TE BF'!$AB$23+'TE CVA'!$AB$23)*(1-CUSTOS!$M$38)</f>
        <v>180.57465387824652</v>
      </c>
      <c r="AB61" s="6">
        <f t="shared" si="4"/>
        <v>0</v>
      </c>
      <c r="AC61" s="6">
        <f>(L61-M61)*(W61+X61)+($W$2+$X$2-$W$61-$X$61)*(L61)</f>
        <v>2594.3001000000017</v>
      </c>
      <c r="AD61" s="6">
        <f t="shared" si="5"/>
        <v>0</v>
      </c>
      <c r="AE61" s="6">
        <f ca="1">(L61-M61)*(Z61+AA61)+($Z$2+$AA$2-$Z$61-$AA$61)*(L61)</f>
        <v>1389.9416319063096</v>
      </c>
      <c r="AF61" s="4" t="s">
        <v>465</v>
      </c>
    </row>
    <row r="62" spans="1:32" ht="11.25" customHeight="1" x14ac:dyDescent="0.25">
      <c r="A62" s="4" t="s">
        <v>21</v>
      </c>
      <c r="B62" s="4" t="s">
        <v>31</v>
      </c>
      <c r="C62" s="4" t="s">
        <v>23</v>
      </c>
      <c r="D62" s="4" t="s">
        <v>32</v>
      </c>
      <c r="E62" s="4" t="s">
        <v>25</v>
      </c>
      <c r="F62" s="4" t="s">
        <v>25</v>
      </c>
      <c r="G62" s="4" t="s">
        <v>25</v>
      </c>
      <c r="H62" s="4" t="s">
        <v>25</v>
      </c>
      <c r="I62" s="5">
        <v>44774</v>
      </c>
      <c r="J62" s="6">
        <v>0</v>
      </c>
      <c r="K62" s="6">
        <v>0</v>
      </c>
      <c r="L62" s="6">
        <v>496.76</v>
      </c>
      <c r="M62" s="6">
        <v>496.76</v>
      </c>
      <c r="N62" s="6">
        <v>496.76</v>
      </c>
      <c r="O62" s="6">
        <v>496.76</v>
      </c>
      <c r="P62" s="6">
        <v>1409</v>
      </c>
      <c r="Q62" s="4" t="s">
        <v>26</v>
      </c>
      <c r="R62" s="4">
        <v>0</v>
      </c>
      <c r="S62" s="4">
        <v>0</v>
      </c>
      <c r="T62" s="4">
        <v>41</v>
      </c>
      <c r="U62" s="4">
        <v>39</v>
      </c>
      <c r="V62" s="6">
        <f>IF(ISERROR(VLOOKUP($S$62,'TAR FIN'!$A$1:$O$73,15,0)),0,VLOOKUP($S$62,'TAR FIN'!$A$1:$O$73,15,0))</f>
        <v>0</v>
      </c>
      <c r="W62" s="6">
        <f>IF(ISERROR(VLOOKUP($T$62,'TAR FIN'!$A$1:$O$73,15,0)),0,VLOOKUP($T$62,'TAR FIN'!$A$1:$O$73,15,0))</f>
        <v>338.67</v>
      </c>
      <c r="X62" s="6">
        <f>IF(ISERROR(VLOOKUP($U$62,'TAR FIN'!$A$1:$O$73,15,0)),0,VLOOKUP($U$62,'TAR FIN'!$A$1:$O$73,15,0))</f>
        <v>218.32</v>
      </c>
      <c r="Y62" s="6"/>
      <c r="Z62" s="6">
        <f ca="1">('TUSD BE'!$AM$33+'TUSD BF'!$AM$33+'TUSD CVA'!$AM$33)*(1-CUSTOS!$M$38)</f>
        <v>456.92614339322381</v>
      </c>
      <c r="AA62" s="6">
        <f>('TE BE'!$AB$23+'TE BF'!$AB$23+'TE CVA'!$AB$23)*(1-CUSTOS!$M$38)</f>
        <v>180.57465387824652</v>
      </c>
      <c r="AB62" s="6">
        <f t="shared" si="4"/>
        <v>0</v>
      </c>
      <c r="AC62" s="6">
        <f>(L62-M62)*(W62+X62)+($W$2+$X$2-$W$62-$X$62)*(L62)</f>
        <v>37728.92200000002</v>
      </c>
      <c r="AD62" s="6">
        <f t="shared" si="5"/>
        <v>0</v>
      </c>
      <c r="AE62" s="6">
        <f ca="1">(L62-M62)*(Z62+AA62)+($Z$2+$AA$2-$Z$62-$AA$62)*(L62)</f>
        <v>20213.929535270752</v>
      </c>
      <c r="AF62" s="4" t="s">
        <v>465</v>
      </c>
    </row>
    <row r="63" spans="1:32" ht="11.25" customHeight="1" x14ac:dyDescent="0.25">
      <c r="A63" s="4" t="s">
        <v>27</v>
      </c>
      <c r="B63" s="4" t="s">
        <v>31</v>
      </c>
      <c r="C63" s="4" t="s">
        <v>23</v>
      </c>
      <c r="D63" s="4" t="s">
        <v>32</v>
      </c>
      <c r="E63" s="4" t="s">
        <v>25</v>
      </c>
      <c r="F63" s="4" t="s">
        <v>25</v>
      </c>
      <c r="G63" s="4" t="s">
        <v>25</v>
      </c>
      <c r="H63" s="4" t="s">
        <v>25</v>
      </c>
      <c r="I63" s="5">
        <v>44774</v>
      </c>
      <c r="J63" s="6">
        <v>0</v>
      </c>
      <c r="K63" s="6">
        <v>0</v>
      </c>
      <c r="L63" s="6">
        <v>45.319000000000003</v>
      </c>
      <c r="M63" s="6">
        <v>45.319000000000003</v>
      </c>
      <c r="N63" s="6">
        <v>45.319000000000003</v>
      </c>
      <c r="O63" s="6">
        <v>45.319000000000003</v>
      </c>
      <c r="P63" s="6">
        <v>60</v>
      </c>
      <c r="Q63" s="4" t="s">
        <v>26</v>
      </c>
      <c r="R63" s="4">
        <v>0</v>
      </c>
      <c r="S63" s="4">
        <v>0</v>
      </c>
      <c r="T63" s="4">
        <v>41</v>
      </c>
      <c r="U63" s="4">
        <v>39</v>
      </c>
      <c r="V63" s="6">
        <f>IF(ISERROR(VLOOKUP($S$63,'TAR FIN'!$A$1:$O$73,15,0)),0,VLOOKUP($S$63,'TAR FIN'!$A$1:$O$73,15,0))</f>
        <v>0</v>
      </c>
      <c r="W63" s="6">
        <f>IF(ISERROR(VLOOKUP($T$63,'TAR FIN'!$A$1:$O$73,15,0)),0,VLOOKUP($T$63,'TAR FIN'!$A$1:$O$73,15,0))</f>
        <v>338.67</v>
      </c>
      <c r="X63" s="6">
        <f>IF(ISERROR(VLOOKUP($U$63,'TAR FIN'!$A$1:$O$73,15,0)),0,VLOOKUP($U$63,'TAR FIN'!$A$1:$O$73,15,0))</f>
        <v>218.32</v>
      </c>
      <c r="Y63" s="6"/>
      <c r="Z63" s="6">
        <f ca="1">('TUSD BE'!$AM$33+'TUSD BF'!$AM$33+'TUSD CVA'!$AM$33)*(1-CUSTOS!$M$38)</f>
        <v>456.92614339322381</v>
      </c>
      <c r="AA63" s="6">
        <f>('TE BE'!$AB$23+'TE BF'!$AB$23+'TE CVA'!$AB$23)*(1-CUSTOS!$M$38)</f>
        <v>180.57465387824652</v>
      </c>
      <c r="AB63" s="6">
        <f t="shared" si="4"/>
        <v>0</v>
      </c>
      <c r="AC63" s="6">
        <f>(L63-M63)*(W63+X63)+($W$2+$X$2-$W$63-$X$63)*(L63)</f>
        <v>3441.9780500000024</v>
      </c>
      <c r="AD63" s="6">
        <f t="shared" si="5"/>
        <v>0</v>
      </c>
      <c r="AE63" s="6">
        <f ca="1">(L63-M63)*(Z63+AA63)+($Z$2+$AA$2-$Z$63-$AA$63)*(L63)</f>
        <v>1844.0999126518545</v>
      </c>
      <c r="AF63" s="4" t="s">
        <v>465</v>
      </c>
    </row>
    <row r="64" spans="1:32" ht="11.25" customHeight="1" x14ac:dyDescent="0.25">
      <c r="A64" s="4" t="s">
        <v>21</v>
      </c>
      <c r="B64" s="4" t="s">
        <v>31</v>
      </c>
      <c r="C64" s="4" t="s">
        <v>23</v>
      </c>
      <c r="D64" s="4" t="s">
        <v>32</v>
      </c>
      <c r="E64" s="4" t="s">
        <v>25</v>
      </c>
      <c r="F64" s="4" t="s">
        <v>25</v>
      </c>
      <c r="G64" s="4" t="s">
        <v>25</v>
      </c>
      <c r="H64" s="4" t="s">
        <v>25</v>
      </c>
      <c r="I64" s="5">
        <v>44805</v>
      </c>
      <c r="J64" s="6">
        <v>0</v>
      </c>
      <c r="K64" s="6">
        <v>0</v>
      </c>
      <c r="L64" s="6">
        <v>443.57400000000001</v>
      </c>
      <c r="M64" s="6">
        <v>443.57400000000001</v>
      </c>
      <c r="N64" s="6">
        <v>443.57400000000001</v>
      </c>
      <c r="O64" s="6">
        <v>443.57400000000001</v>
      </c>
      <c r="P64" s="6">
        <v>1407</v>
      </c>
      <c r="Q64" s="4" t="s">
        <v>26</v>
      </c>
      <c r="R64" s="4">
        <v>0</v>
      </c>
      <c r="S64" s="4">
        <v>0</v>
      </c>
      <c r="T64" s="4">
        <v>41</v>
      </c>
      <c r="U64" s="4">
        <v>39</v>
      </c>
      <c r="V64" s="6">
        <f>IF(ISERROR(VLOOKUP($S$64,'TAR FIN'!$A$1:$O$73,15,0)),0,VLOOKUP($S$64,'TAR FIN'!$A$1:$O$73,15,0))</f>
        <v>0</v>
      </c>
      <c r="W64" s="6">
        <f>IF(ISERROR(VLOOKUP($T$64,'TAR FIN'!$A$1:$O$73,15,0)),0,VLOOKUP($T$64,'TAR FIN'!$A$1:$O$73,15,0))</f>
        <v>338.67</v>
      </c>
      <c r="X64" s="6">
        <f>IF(ISERROR(VLOOKUP($U$64,'TAR FIN'!$A$1:$O$73,15,0)),0,VLOOKUP($U$64,'TAR FIN'!$A$1:$O$73,15,0))</f>
        <v>218.32</v>
      </c>
      <c r="Y64" s="6"/>
      <c r="Z64" s="6">
        <f ca="1">('TUSD BE'!$AM$33+'TUSD BF'!$AM$33+'TUSD CVA'!$AM$33)*(1-CUSTOS!$M$38)</f>
        <v>456.92614339322381</v>
      </c>
      <c r="AA64" s="6">
        <f>('TE BE'!$AB$23+'TE BF'!$AB$23+'TE CVA'!$AB$23)*(1-CUSTOS!$M$38)</f>
        <v>180.57465387824652</v>
      </c>
      <c r="AB64" s="6">
        <f t="shared" si="4"/>
        <v>0</v>
      </c>
      <c r="AC64" s="6">
        <f>(L64-M64)*(W64+X64)+($W$2+$X$2-$W$64-$X$64)*(L64)</f>
        <v>33689.445300000021</v>
      </c>
      <c r="AD64" s="6">
        <f t="shared" si="5"/>
        <v>0</v>
      </c>
      <c r="AE64" s="6">
        <f ca="1">(L64-M64)*(Z64+AA64)+($Z$2+$AA$2-$Z$64-$AA$64)*(L64)</f>
        <v>18049.709275461366</v>
      </c>
      <c r="AF64" s="4" t="s">
        <v>465</v>
      </c>
    </row>
    <row r="65" spans="1:32" ht="11.25" customHeight="1" x14ac:dyDescent="0.25">
      <c r="A65" s="4" t="s">
        <v>27</v>
      </c>
      <c r="B65" s="4" t="s">
        <v>31</v>
      </c>
      <c r="C65" s="4" t="s">
        <v>23</v>
      </c>
      <c r="D65" s="4" t="s">
        <v>32</v>
      </c>
      <c r="E65" s="4" t="s">
        <v>25</v>
      </c>
      <c r="F65" s="4" t="s">
        <v>25</v>
      </c>
      <c r="G65" s="4" t="s">
        <v>25</v>
      </c>
      <c r="H65" s="4" t="s">
        <v>25</v>
      </c>
      <c r="I65" s="5">
        <v>44805</v>
      </c>
      <c r="J65" s="6">
        <v>0</v>
      </c>
      <c r="K65" s="6">
        <v>0</v>
      </c>
      <c r="L65" s="6">
        <v>46.637</v>
      </c>
      <c r="M65" s="6">
        <v>46.637</v>
      </c>
      <c r="N65" s="6">
        <v>46.637</v>
      </c>
      <c r="O65" s="6">
        <v>46.637</v>
      </c>
      <c r="P65" s="6">
        <v>62</v>
      </c>
      <c r="Q65" s="4" t="s">
        <v>26</v>
      </c>
      <c r="R65" s="4">
        <v>0</v>
      </c>
      <c r="S65" s="4">
        <v>0</v>
      </c>
      <c r="T65" s="4">
        <v>41</v>
      </c>
      <c r="U65" s="4">
        <v>39</v>
      </c>
      <c r="V65" s="6">
        <f>IF(ISERROR(VLOOKUP($S$65,'TAR FIN'!$A$1:$O$73,15,0)),0,VLOOKUP($S$65,'TAR FIN'!$A$1:$O$73,15,0))</f>
        <v>0</v>
      </c>
      <c r="W65" s="6">
        <f>IF(ISERROR(VLOOKUP($T$65,'TAR FIN'!$A$1:$O$73,15,0)),0,VLOOKUP($T$65,'TAR FIN'!$A$1:$O$73,15,0))</f>
        <v>338.67</v>
      </c>
      <c r="X65" s="6">
        <f>IF(ISERROR(VLOOKUP($U$65,'TAR FIN'!$A$1:$O$73,15,0)),0,VLOOKUP($U$65,'TAR FIN'!$A$1:$O$73,15,0))</f>
        <v>218.32</v>
      </c>
      <c r="Y65" s="6"/>
      <c r="Z65" s="6">
        <f ca="1">('TUSD BE'!$AM$33+'TUSD BF'!$AM$33+'TUSD CVA'!$AM$33)*(1-CUSTOS!$M$38)</f>
        <v>456.92614339322381</v>
      </c>
      <c r="AA65" s="6">
        <f>('TE BE'!$AB$23+'TE BF'!$AB$23+'TE CVA'!$AB$23)*(1-CUSTOS!$M$38)</f>
        <v>180.57465387824652</v>
      </c>
      <c r="AB65" s="6">
        <f t="shared" si="4"/>
        <v>0</v>
      </c>
      <c r="AC65" s="6">
        <f>(L65-M65)*(W65+X65)+($W$2+$X$2-$W$65-$X$65)*(L65)</f>
        <v>3542.080150000002</v>
      </c>
      <c r="AD65" s="6">
        <f t="shared" si="5"/>
        <v>0</v>
      </c>
      <c r="AE65" s="6">
        <f ca="1">(L65-M65)*(Z65+AA65)+($Z$2+$AA$2-$Z$65-$AA$65)*(L65)</f>
        <v>1897.7313627031606</v>
      </c>
      <c r="AF65" s="4" t="s">
        <v>465</v>
      </c>
    </row>
    <row r="66" spans="1:32" ht="11.25" customHeight="1" x14ac:dyDescent="0.25">
      <c r="A66" s="4" t="s">
        <v>21</v>
      </c>
      <c r="B66" s="4" t="s">
        <v>31</v>
      </c>
      <c r="C66" s="4" t="s">
        <v>23</v>
      </c>
      <c r="D66" s="4" t="s">
        <v>32</v>
      </c>
      <c r="E66" s="4" t="s">
        <v>25</v>
      </c>
      <c r="F66" s="4" t="s">
        <v>25</v>
      </c>
      <c r="G66" s="4" t="s">
        <v>25</v>
      </c>
      <c r="H66" s="4" t="s">
        <v>25</v>
      </c>
      <c r="I66" s="5">
        <v>44835</v>
      </c>
      <c r="J66" s="6">
        <v>0</v>
      </c>
      <c r="K66" s="6">
        <v>0</v>
      </c>
      <c r="L66" s="6">
        <v>490.70600000000002</v>
      </c>
      <c r="M66" s="6">
        <v>490.70600000000002</v>
      </c>
      <c r="N66" s="6">
        <v>490.70600000000002</v>
      </c>
      <c r="O66" s="6">
        <v>490.70600000000002</v>
      </c>
      <c r="P66" s="6">
        <v>1404</v>
      </c>
      <c r="Q66" s="4" t="s">
        <v>26</v>
      </c>
      <c r="R66" s="4">
        <v>0</v>
      </c>
      <c r="S66" s="4">
        <v>0</v>
      </c>
      <c r="T66" s="4">
        <v>41</v>
      </c>
      <c r="U66" s="4">
        <v>39</v>
      </c>
      <c r="V66" s="6">
        <f>IF(ISERROR(VLOOKUP($S$66,'TAR FIN'!$A$1:$O$73,15,0)),0,VLOOKUP($S$66,'TAR FIN'!$A$1:$O$73,15,0))</f>
        <v>0</v>
      </c>
      <c r="W66" s="6">
        <f>IF(ISERROR(VLOOKUP($T$66,'TAR FIN'!$A$1:$O$73,15,0)),0,VLOOKUP($T$66,'TAR FIN'!$A$1:$O$73,15,0))</f>
        <v>338.67</v>
      </c>
      <c r="X66" s="6">
        <f>IF(ISERROR(VLOOKUP($U$66,'TAR FIN'!$A$1:$O$73,15,0)),0,VLOOKUP($U$66,'TAR FIN'!$A$1:$O$73,15,0))</f>
        <v>218.32</v>
      </c>
      <c r="Y66" s="6"/>
      <c r="Z66" s="6">
        <f ca="1">('TUSD BE'!$AM$33+'TUSD BF'!$AM$33+'TUSD CVA'!$AM$33)*(1-CUSTOS!$M$38)</f>
        <v>456.92614339322381</v>
      </c>
      <c r="AA66" s="6">
        <f>('TE BE'!$AB$23+'TE BF'!$AB$23+'TE CVA'!$AB$23)*(1-CUSTOS!$M$38)</f>
        <v>180.57465387824652</v>
      </c>
      <c r="AB66" s="6">
        <f t="shared" ref="AB66:AB67" si="6">(J66-K66)*V66</f>
        <v>0</v>
      </c>
      <c r="AC66" s="6">
        <f>(L66-M66)*(W66+X66)+($W$2+$X$2-$W$66-$X$66)*(L66)</f>
        <v>37269.120700000021</v>
      </c>
      <c r="AD66" s="6">
        <f t="shared" ref="AD66:AD67" si="7">(J66-K66)*Y66</f>
        <v>0</v>
      </c>
      <c r="AE66" s="6">
        <f ca="1">(L66-M66)*(Z66+AA66)+($Z$2+$AA$2-$Z$66-$AA$66)*(L66)</f>
        <v>19967.582950588956</v>
      </c>
      <c r="AF66" s="4" t="s">
        <v>465</v>
      </c>
    </row>
    <row r="67" spans="1:32" ht="11.25" customHeight="1" x14ac:dyDescent="0.25">
      <c r="A67" s="4" t="s">
        <v>27</v>
      </c>
      <c r="B67" s="4" t="s">
        <v>31</v>
      </c>
      <c r="C67" s="4" t="s">
        <v>23</v>
      </c>
      <c r="D67" s="4" t="s">
        <v>32</v>
      </c>
      <c r="E67" s="4" t="s">
        <v>25</v>
      </c>
      <c r="F67" s="4" t="s">
        <v>25</v>
      </c>
      <c r="G67" s="4" t="s">
        <v>25</v>
      </c>
      <c r="H67" s="4" t="s">
        <v>25</v>
      </c>
      <c r="I67" s="5">
        <v>44835</v>
      </c>
      <c r="J67" s="6">
        <v>0</v>
      </c>
      <c r="K67" s="6">
        <v>0</v>
      </c>
      <c r="L67" s="6">
        <v>11.884</v>
      </c>
      <c r="M67" s="6">
        <v>11.884</v>
      </c>
      <c r="N67" s="6">
        <v>11.884</v>
      </c>
      <c r="O67" s="6">
        <v>11.884</v>
      </c>
      <c r="P67" s="6">
        <v>64</v>
      </c>
      <c r="Q67" s="4" t="s">
        <v>26</v>
      </c>
      <c r="R67" s="4">
        <v>0</v>
      </c>
      <c r="S67" s="4">
        <v>0</v>
      </c>
      <c r="T67" s="4">
        <v>41</v>
      </c>
      <c r="U67" s="4">
        <v>39</v>
      </c>
      <c r="V67" s="6">
        <f>IF(ISERROR(VLOOKUP($S$67,'TAR FIN'!$A$1:$O$73,15,0)),0,VLOOKUP($S$67,'TAR FIN'!$A$1:$O$73,15,0))</f>
        <v>0</v>
      </c>
      <c r="W67" s="6">
        <f>IF(ISERROR(VLOOKUP($T$67,'TAR FIN'!$A$1:$O$73,15,0)),0,VLOOKUP($T$67,'TAR FIN'!$A$1:$O$73,15,0))</f>
        <v>338.67</v>
      </c>
      <c r="X67" s="6">
        <f>IF(ISERROR(VLOOKUP($U$67,'TAR FIN'!$A$1:$O$73,15,0)),0,VLOOKUP($U$67,'TAR FIN'!$A$1:$O$73,15,0))</f>
        <v>218.32</v>
      </c>
      <c r="Y67" s="6"/>
      <c r="Z67" s="6">
        <f ca="1">('TUSD BE'!$AM$33+'TUSD BF'!$AM$33+'TUSD CVA'!$AM$33)*(1-CUSTOS!$M$38)</f>
        <v>456.92614339322381</v>
      </c>
      <c r="AA67" s="6">
        <f>('TE BE'!$AB$23+'TE BF'!$AB$23+'TE CVA'!$AB$23)*(1-CUSTOS!$M$38)</f>
        <v>180.57465387824652</v>
      </c>
      <c r="AB67" s="6">
        <f t="shared" si="6"/>
        <v>0</v>
      </c>
      <c r="AC67" s="6">
        <f>(L67-M67)*(W67+X67)+($W$2+$X$2-$W$67-$X$67)*(L67)</f>
        <v>902.58980000000054</v>
      </c>
      <c r="AD67" s="6">
        <f t="shared" si="7"/>
        <v>0</v>
      </c>
      <c r="AE67" s="6">
        <f ca="1">(L67-M67)*(Z67+AA67)+($Z$2+$AA$2-$Z$67-$AA$67)*(L67)</f>
        <v>483.57826434728565</v>
      </c>
      <c r="AF67" s="4" t="s">
        <v>465</v>
      </c>
    </row>
    <row r="68" spans="1:32" ht="11.25" customHeight="1" x14ac:dyDescent="0.25">
      <c r="A68" s="4" t="s">
        <v>21</v>
      </c>
      <c r="B68" s="4" t="s">
        <v>28</v>
      </c>
      <c r="C68" s="4" t="s">
        <v>23</v>
      </c>
      <c r="D68" s="4" t="s">
        <v>37</v>
      </c>
      <c r="E68" s="4" t="s">
        <v>38</v>
      </c>
      <c r="F68" s="4" t="s">
        <v>25</v>
      </c>
      <c r="G68" s="4" t="s">
        <v>25</v>
      </c>
      <c r="H68" s="4" t="s">
        <v>25</v>
      </c>
      <c r="I68" s="5">
        <v>44501</v>
      </c>
      <c r="J68" s="6">
        <v>0</v>
      </c>
      <c r="K68" s="58">
        <v>0</v>
      </c>
      <c r="L68" s="6">
        <v>0.96799999999999997</v>
      </c>
      <c r="M68" s="58">
        <v>0.96799999999999997</v>
      </c>
      <c r="N68" s="6">
        <v>0.96799999999999997</v>
      </c>
      <c r="O68" s="58">
        <v>0.96799999999999997</v>
      </c>
      <c r="P68" s="6">
        <v>3</v>
      </c>
      <c r="Q68" s="4" t="s">
        <v>26</v>
      </c>
      <c r="R68" s="4">
        <v>0</v>
      </c>
      <c r="S68" s="4">
        <v>0</v>
      </c>
      <c r="T68" s="4">
        <v>42</v>
      </c>
      <c r="U68" s="4">
        <v>50</v>
      </c>
      <c r="V68" s="58">
        <f>IF(ISERROR(VLOOKUP($S$68,'TAR FIN'!$A$1:$O$73,15,0)),0,VLOOKUP($S$68,'TAR FIN'!$A$1:$O$73,15,0))</f>
        <v>0</v>
      </c>
      <c r="W68" s="58">
        <f>IF(ISERROR(VLOOKUP($T$68,'TAR FIN'!$A$1:$O$73,15,0)),0,VLOOKUP($T$68,'TAR FIN'!$A$1:$O$73,15,0))*(1-0.06)</f>
        <v>361.75900000000001</v>
      </c>
      <c r="X68" s="58">
        <f>IF(ISERROR(VLOOKUP($U$68,'TAR FIN'!$A$1:$O$73,15,0)),0,VLOOKUP($U$68,'TAR FIN'!$A$1:$O$73,15,0))*(1-0.06)</f>
        <v>233.2046</v>
      </c>
      <c r="Y68" s="58"/>
      <c r="Z68" s="58">
        <f ca="1">('TUSD BE'!$AM$48+'TUSD BF'!$AM$48+'TUSD CVA'!$AM$48)*1*(1-0.03)</f>
        <v>471.50889265045436</v>
      </c>
      <c r="AA68" s="58">
        <f>('TE BE'!$AB$38+'TE BF'!$AB$38+'TE CVA'!$AB$38)*1*(1-0.03)</f>
        <v>186.3376747467012</v>
      </c>
      <c r="AB68" s="58">
        <f>(SUBSIDIO!$J$68*SUBSIDIO!$V$68)*(0.06)/(1-0.06)</f>
        <v>0</v>
      </c>
      <c r="AC68" s="58">
        <f>((SUBSIDIO!$L$68*SUBSIDIO!$W$68)+(SUBSIDIO!$N$68*SUBSIDIO!$X$68))*(0.06)/(1-0.06)</f>
        <v>36.761155199999997</v>
      </c>
      <c r="AD68" s="58">
        <f>(SUBSIDIO!$J$68*SUBSIDIO!$Y$68)*(0.03)/(1-0.03)</f>
        <v>0</v>
      </c>
      <c r="AE68" s="58">
        <f ca="1">((SUBSIDIO!$L$68*SUBSIDIO!$Z$68)+(SUBSIDIO!$N$68*SUBSIDIO!$AA$68))*(0.03)/(1-0.03)</f>
        <v>19.694705481663295</v>
      </c>
      <c r="AF68" s="4" t="s">
        <v>466</v>
      </c>
    </row>
    <row r="69" spans="1:32" ht="11.25" customHeight="1" x14ac:dyDescent="0.25">
      <c r="A69" s="4" t="s">
        <v>21</v>
      </c>
      <c r="B69" s="4" t="s">
        <v>28</v>
      </c>
      <c r="C69" s="4" t="s">
        <v>23</v>
      </c>
      <c r="D69" s="4" t="s">
        <v>37</v>
      </c>
      <c r="E69" s="4" t="s">
        <v>38</v>
      </c>
      <c r="F69" s="4" t="s">
        <v>25</v>
      </c>
      <c r="G69" s="4" t="s">
        <v>25</v>
      </c>
      <c r="H69" s="4" t="s">
        <v>25</v>
      </c>
      <c r="I69" s="5">
        <v>44531</v>
      </c>
      <c r="J69" s="6">
        <v>0</v>
      </c>
      <c r="K69" s="58">
        <v>0</v>
      </c>
      <c r="L69" s="6">
        <v>1.024</v>
      </c>
      <c r="M69" s="58">
        <v>1.024</v>
      </c>
      <c r="N69" s="6">
        <v>1.024</v>
      </c>
      <c r="O69" s="58">
        <v>1.024</v>
      </c>
      <c r="P69" s="6">
        <v>3</v>
      </c>
      <c r="Q69" s="4" t="s">
        <v>26</v>
      </c>
      <c r="R69" s="4">
        <v>0</v>
      </c>
      <c r="S69" s="4">
        <v>0</v>
      </c>
      <c r="T69" s="4">
        <v>42</v>
      </c>
      <c r="U69" s="4">
        <v>50</v>
      </c>
      <c r="V69" s="58">
        <f>IF(ISERROR(VLOOKUP($S$69,'TAR FIN'!$A$1:$O$73,15,0)),0,VLOOKUP($S$69,'TAR FIN'!$A$1:$O$73,15,0))</f>
        <v>0</v>
      </c>
      <c r="W69" s="58">
        <f>IF(ISERROR(VLOOKUP($T$69,'TAR FIN'!$A$1:$O$73,15,0)),0,VLOOKUP($T$69,'TAR FIN'!$A$1:$O$73,15,0))*(1-0.06)</f>
        <v>361.75900000000001</v>
      </c>
      <c r="X69" s="58">
        <f>IF(ISERROR(VLOOKUP($U$69,'TAR FIN'!$A$1:$O$73,15,0)),0,VLOOKUP($U$69,'TAR FIN'!$A$1:$O$73,15,0))*(1-0.06)</f>
        <v>233.2046</v>
      </c>
      <c r="Y69" s="58"/>
      <c r="Z69" s="58">
        <f ca="1">('TUSD BE'!$AM$48+'TUSD BF'!$AM$48+'TUSD CVA'!$AM$48)*1*(1-0.03)</f>
        <v>471.50889265045436</v>
      </c>
      <c r="AA69" s="58">
        <f>('TE BE'!$AB$38+'TE BF'!$AB$38+'TE CVA'!$AB$38)*1*(1-0.03)</f>
        <v>186.3376747467012</v>
      </c>
      <c r="AB69" s="58">
        <f>(SUBSIDIO!$J$69*SUBSIDIO!$V$69)*(0.06)/(1-0.06)</f>
        <v>0</v>
      </c>
      <c r="AC69" s="58">
        <f>((SUBSIDIO!$L$69*SUBSIDIO!$W$69)+(SUBSIDIO!$N$69*SUBSIDIO!$X$69))*(0.06)/(1-0.06)</f>
        <v>38.8878336</v>
      </c>
      <c r="AD69" s="58">
        <f>(SUBSIDIO!$J$69*SUBSIDIO!$Y$69)*(0.03)/(1-0.03)</f>
        <v>0</v>
      </c>
      <c r="AE69" s="58">
        <f ca="1">((SUBSIDIO!$L$69*SUBSIDIO!$Z$69)+(SUBSIDIO!$N$69*SUBSIDIO!$AA$69))*(0.03)/(1-0.03)</f>
        <v>20.834068608701674</v>
      </c>
      <c r="AF69" s="4" t="s">
        <v>466</v>
      </c>
    </row>
    <row r="70" spans="1:32" ht="11.25" customHeight="1" x14ac:dyDescent="0.25">
      <c r="A70" s="4" t="s">
        <v>21</v>
      </c>
      <c r="B70" s="4" t="s">
        <v>28</v>
      </c>
      <c r="C70" s="4" t="s">
        <v>23</v>
      </c>
      <c r="D70" s="4" t="s">
        <v>37</v>
      </c>
      <c r="E70" s="4" t="s">
        <v>38</v>
      </c>
      <c r="F70" s="4" t="s">
        <v>25</v>
      </c>
      <c r="G70" s="4" t="s">
        <v>25</v>
      </c>
      <c r="H70" s="4" t="s">
        <v>25</v>
      </c>
      <c r="I70" s="5">
        <v>44562</v>
      </c>
      <c r="J70" s="6">
        <v>0</v>
      </c>
      <c r="K70" s="58">
        <v>0</v>
      </c>
      <c r="L70" s="6">
        <v>1.095</v>
      </c>
      <c r="M70" s="58">
        <v>1.095</v>
      </c>
      <c r="N70" s="6">
        <v>1.095</v>
      </c>
      <c r="O70" s="58">
        <v>1.095</v>
      </c>
      <c r="P70" s="6">
        <v>3</v>
      </c>
      <c r="Q70" s="4" t="s">
        <v>26</v>
      </c>
      <c r="R70" s="4">
        <v>0</v>
      </c>
      <c r="S70" s="4">
        <v>0</v>
      </c>
      <c r="T70" s="4">
        <v>42</v>
      </c>
      <c r="U70" s="4">
        <v>50</v>
      </c>
      <c r="V70" s="58">
        <f>IF(ISERROR(VLOOKUP($S$70,'TAR FIN'!$A$1:$O$73,15,0)),0,VLOOKUP($S$70,'TAR FIN'!$A$1:$O$73,15,0))</f>
        <v>0</v>
      </c>
      <c r="W70" s="58">
        <f>IF(ISERROR(VLOOKUP($T$70,'TAR FIN'!$A$1:$O$73,15,0)),0,VLOOKUP($T$70,'TAR FIN'!$A$1:$O$73,15,0))*(1-0.06)</f>
        <v>361.75900000000001</v>
      </c>
      <c r="X70" s="58">
        <f>IF(ISERROR(VLOOKUP($U$70,'TAR FIN'!$A$1:$O$73,15,0)),0,VLOOKUP($U$70,'TAR FIN'!$A$1:$O$73,15,0))*(1-0.06)</f>
        <v>233.2046</v>
      </c>
      <c r="Y70" s="58"/>
      <c r="Z70" s="58">
        <f ca="1">('TUSD BE'!$AM$48+'TUSD BF'!$AM$48+'TUSD CVA'!$AM$48)*1*(1-0.03)</f>
        <v>471.50889265045436</v>
      </c>
      <c r="AA70" s="58">
        <f>('TE BE'!$AB$38+'TE BF'!$AB$38+'TE CVA'!$AB$38)*1*(1-0.03)</f>
        <v>186.3376747467012</v>
      </c>
      <c r="AB70" s="58">
        <f>(SUBSIDIO!$J$70*SUBSIDIO!$V$70)*(0.06)/(1-0.06)</f>
        <v>0</v>
      </c>
      <c r="AC70" s="58">
        <f>((SUBSIDIO!$L$70*SUBSIDIO!$W$70)+(SUBSIDIO!$N$70*SUBSIDIO!$X$70))*(0.06)/(1-0.06)</f>
        <v>41.584157999999995</v>
      </c>
      <c r="AD70" s="58">
        <f>(SUBSIDIO!$J$70*SUBSIDIO!$Y$70)*(0.03)/(1-0.03)</f>
        <v>0</v>
      </c>
      <c r="AE70" s="58">
        <f ca="1">((SUBSIDIO!$L$70*SUBSIDIO!$Z$70)+(SUBSIDIO!$N$70*SUBSIDIO!$AA$70))*(0.03)/(1-0.03)</f>
        <v>22.278618287625317</v>
      </c>
      <c r="AF70" s="4" t="s">
        <v>466</v>
      </c>
    </row>
    <row r="71" spans="1:32" ht="11.25" customHeight="1" x14ac:dyDescent="0.25">
      <c r="A71" s="4" t="s">
        <v>21</v>
      </c>
      <c r="B71" s="4" t="s">
        <v>28</v>
      </c>
      <c r="C71" s="4" t="s">
        <v>23</v>
      </c>
      <c r="D71" s="4" t="s">
        <v>37</v>
      </c>
      <c r="E71" s="4" t="s">
        <v>38</v>
      </c>
      <c r="F71" s="4" t="s">
        <v>25</v>
      </c>
      <c r="G71" s="4" t="s">
        <v>25</v>
      </c>
      <c r="H71" s="4" t="s">
        <v>25</v>
      </c>
      <c r="I71" s="5">
        <v>44593</v>
      </c>
      <c r="J71" s="6">
        <v>0</v>
      </c>
      <c r="K71" s="58">
        <v>0</v>
      </c>
      <c r="L71" s="6">
        <v>0.95699999999999996</v>
      </c>
      <c r="M71" s="58">
        <v>0.95699999999999996</v>
      </c>
      <c r="N71" s="6">
        <v>0.95699999999999996</v>
      </c>
      <c r="O71" s="58">
        <v>0.95699999999999996</v>
      </c>
      <c r="P71" s="6">
        <v>3</v>
      </c>
      <c r="Q71" s="4" t="s">
        <v>26</v>
      </c>
      <c r="R71" s="4">
        <v>0</v>
      </c>
      <c r="S71" s="4">
        <v>0</v>
      </c>
      <c r="T71" s="4">
        <v>42</v>
      </c>
      <c r="U71" s="4">
        <v>50</v>
      </c>
      <c r="V71" s="58">
        <f>IF(ISERROR(VLOOKUP($S$71,'TAR FIN'!$A$1:$O$73,15,0)),0,VLOOKUP($S$71,'TAR FIN'!$A$1:$O$73,15,0))</f>
        <v>0</v>
      </c>
      <c r="W71" s="58">
        <f>IF(ISERROR(VLOOKUP($T$71,'TAR FIN'!$A$1:$O$73,15,0)),0,VLOOKUP($T$71,'TAR FIN'!$A$1:$O$73,15,0))*(1-0.06)</f>
        <v>361.75900000000001</v>
      </c>
      <c r="X71" s="58">
        <f>IF(ISERROR(VLOOKUP($U$71,'TAR FIN'!$A$1:$O$73,15,0)),0,VLOOKUP($U$71,'TAR FIN'!$A$1:$O$73,15,0))*(1-0.06)</f>
        <v>233.2046</v>
      </c>
      <c r="Y71" s="58"/>
      <c r="Z71" s="58">
        <f ca="1">('TUSD BE'!$AM$48+'TUSD BF'!$AM$48+'TUSD CVA'!$AM$48)*1*(1-0.03)</f>
        <v>471.50889265045436</v>
      </c>
      <c r="AA71" s="58">
        <f>('TE BE'!$AB$38+'TE BF'!$AB$38+'TE CVA'!$AB$38)*1*(1-0.03)</f>
        <v>186.3376747467012</v>
      </c>
      <c r="AB71" s="58">
        <f>(SUBSIDIO!$J$71*SUBSIDIO!$V$71)*(0.06)/(1-0.06)</f>
        <v>0</v>
      </c>
      <c r="AC71" s="58">
        <f>((SUBSIDIO!$L$71*SUBSIDIO!$W$71)+(SUBSIDIO!$N$71*SUBSIDIO!$X$71))*(0.06)/(1-0.06)</f>
        <v>36.343414800000005</v>
      </c>
      <c r="AD71" s="58">
        <f>(SUBSIDIO!$J$71*SUBSIDIO!$Y$71)*(0.03)/(1-0.03)</f>
        <v>0</v>
      </c>
      <c r="AE71" s="58">
        <f ca="1">((SUBSIDIO!$L$71*SUBSIDIO!$Z$71)+(SUBSIDIO!$N$71*SUBSIDIO!$AA$71))*(0.03)/(1-0.03)</f>
        <v>19.470902010280756</v>
      </c>
      <c r="AF71" s="4" t="s">
        <v>466</v>
      </c>
    </row>
    <row r="72" spans="1:32" ht="11.25" customHeight="1" x14ac:dyDescent="0.25">
      <c r="A72" s="4" t="s">
        <v>21</v>
      </c>
      <c r="B72" s="4" t="s">
        <v>28</v>
      </c>
      <c r="C72" s="4" t="s">
        <v>23</v>
      </c>
      <c r="D72" s="4" t="s">
        <v>37</v>
      </c>
      <c r="E72" s="4" t="s">
        <v>38</v>
      </c>
      <c r="F72" s="4" t="s">
        <v>25</v>
      </c>
      <c r="G72" s="4" t="s">
        <v>25</v>
      </c>
      <c r="H72" s="4" t="s">
        <v>25</v>
      </c>
      <c r="I72" s="5">
        <v>44621</v>
      </c>
      <c r="J72" s="6">
        <v>0</v>
      </c>
      <c r="K72" s="58">
        <v>0</v>
      </c>
      <c r="L72" s="6">
        <v>1.0089999999999999</v>
      </c>
      <c r="M72" s="58">
        <v>1.0089999999999999</v>
      </c>
      <c r="N72" s="6">
        <v>1.0089999999999999</v>
      </c>
      <c r="O72" s="58">
        <v>1.0089999999999999</v>
      </c>
      <c r="P72" s="6">
        <v>3</v>
      </c>
      <c r="Q72" s="4" t="s">
        <v>26</v>
      </c>
      <c r="R72" s="4">
        <v>0</v>
      </c>
      <c r="S72" s="4">
        <v>0</v>
      </c>
      <c r="T72" s="4">
        <v>42</v>
      </c>
      <c r="U72" s="4">
        <v>50</v>
      </c>
      <c r="V72" s="58">
        <f>IF(ISERROR(VLOOKUP($S$72,'TAR FIN'!$A$1:$O$73,15,0)),0,VLOOKUP($S$72,'TAR FIN'!$A$1:$O$73,15,0))</f>
        <v>0</v>
      </c>
      <c r="W72" s="58">
        <f>IF(ISERROR(VLOOKUP($T$72,'TAR FIN'!$A$1:$O$73,15,0)),0,VLOOKUP($T$72,'TAR FIN'!$A$1:$O$73,15,0))*(1-0.06)</f>
        <v>361.75900000000001</v>
      </c>
      <c r="X72" s="58">
        <f>IF(ISERROR(VLOOKUP($U$72,'TAR FIN'!$A$1:$O$73,15,0)),0,VLOOKUP($U$72,'TAR FIN'!$A$1:$O$73,15,0))*(1-0.06)</f>
        <v>233.2046</v>
      </c>
      <c r="Y72" s="58"/>
      <c r="Z72" s="58">
        <f ca="1">('TUSD BE'!$AM$48+'TUSD BF'!$AM$48+'TUSD CVA'!$AM$48)*1*(1-0.03)</f>
        <v>471.50889265045436</v>
      </c>
      <c r="AA72" s="58">
        <f>('TE BE'!$AB$38+'TE BF'!$AB$38+'TE CVA'!$AB$38)*1*(1-0.03)</f>
        <v>186.3376747467012</v>
      </c>
      <c r="AB72" s="58">
        <f>(SUBSIDIO!$J$72*SUBSIDIO!$V$72)*(0.06)/(1-0.06)</f>
        <v>0</v>
      </c>
      <c r="AC72" s="58">
        <f>((SUBSIDIO!$L$72*SUBSIDIO!$W$72)+(SUBSIDIO!$N$72*SUBSIDIO!$X$72))*(0.06)/(1-0.06)</f>
        <v>38.318187600000002</v>
      </c>
      <c r="AD72" s="58">
        <f>(SUBSIDIO!$J$72*SUBSIDIO!$Y$72)*(0.03)/(1-0.03)</f>
        <v>0</v>
      </c>
      <c r="AE72" s="58">
        <f ca="1">((SUBSIDIO!$L$72*SUBSIDIO!$Z$72)+(SUBSIDIO!$N$72*SUBSIDIO!$AA$72))*(0.03)/(1-0.03)</f>
        <v>20.528882056816386</v>
      </c>
      <c r="AF72" s="4" t="s">
        <v>466</v>
      </c>
    </row>
    <row r="73" spans="1:32" ht="11.25" customHeight="1" x14ac:dyDescent="0.25">
      <c r="A73" s="4" t="s">
        <v>21</v>
      </c>
      <c r="B73" s="4" t="s">
        <v>28</v>
      </c>
      <c r="C73" s="4" t="s">
        <v>23</v>
      </c>
      <c r="D73" s="4" t="s">
        <v>37</v>
      </c>
      <c r="E73" s="4" t="s">
        <v>38</v>
      </c>
      <c r="F73" s="4" t="s">
        <v>25</v>
      </c>
      <c r="G73" s="4" t="s">
        <v>25</v>
      </c>
      <c r="H73" s="4" t="s">
        <v>25</v>
      </c>
      <c r="I73" s="5">
        <v>44652</v>
      </c>
      <c r="J73" s="6">
        <v>0</v>
      </c>
      <c r="K73" s="58">
        <v>0</v>
      </c>
      <c r="L73" s="6">
        <v>1.028</v>
      </c>
      <c r="M73" s="58">
        <v>1.028</v>
      </c>
      <c r="N73" s="6">
        <v>1.028</v>
      </c>
      <c r="O73" s="58">
        <v>1.028</v>
      </c>
      <c r="P73" s="6">
        <v>3</v>
      </c>
      <c r="Q73" s="4" t="s">
        <v>26</v>
      </c>
      <c r="R73" s="4">
        <v>0</v>
      </c>
      <c r="S73" s="4">
        <v>0</v>
      </c>
      <c r="T73" s="4">
        <v>42</v>
      </c>
      <c r="U73" s="4">
        <v>50</v>
      </c>
      <c r="V73" s="58">
        <f>IF(ISERROR(VLOOKUP($S$73,'TAR FIN'!$A$1:$O$73,15,0)),0,VLOOKUP($S$73,'TAR FIN'!$A$1:$O$73,15,0))</f>
        <v>0</v>
      </c>
      <c r="W73" s="58">
        <f>IF(ISERROR(VLOOKUP($T$73,'TAR FIN'!$A$1:$O$73,15,0)),0,VLOOKUP($T$73,'TAR FIN'!$A$1:$O$73,15,0))*(1-0.06)</f>
        <v>361.75900000000001</v>
      </c>
      <c r="X73" s="58">
        <f>IF(ISERROR(VLOOKUP($U$73,'TAR FIN'!$A$1:$O$73,15,0)),0,VLOOKUP($U$73,'TAR FIN'!$A$1:$O$73,15,0))*(1-0.06)</f>
        <v>233.2046</v>
      </c>
      <c r="Y73" s="58"/>
      <c r="Z73" s="58">
        <f ca="1">('TUSD BE'!$AM$48+'TUSD BF'!$AM$48+'TUSD CVA'!$AM$48)*1*(1-0.03)</f>
        <v>471.50889265045436</v>
      </c>
      <c r="AA73" s="58">
        <f>('TE BE'!$AB$38+'TE BF'!$AB$38+'TE CVA'!$AB$38)*1*(1-0.03)</f>
        <v>186.3376747467012</v>
      </c>
      <c r="AB73" s="58">
        <f>(SUBSIDIO!$J$73*SUBSIDIO!$V$73)*(0.06)/(1-0.06)</f>
        <v>0</v>
      </c>
      <c r="AC73" s="58">
        <f>((SUBSIDIO!$L$73*SUBSIDIO!$W$73)+(SUBSIDIO!$N$73*SUBSIDIO!$X$73))*(0.06)/(1-0.06)</f>
        <v>39.039739200000007</v>
      </c>
      <c r="AD73" s="58">
        <f>(SUBSIDIO!$J$73*SUBSIDIO!$Y$73)*(0.03)/(1-0.03)</f>
        <v>0</v>
      </c>
      <c r="AE73" s="58">
        <f ca="1">((SUBSIDIO!$L$73*SUBSIDIO!$Z$73)+(SUBSIDIO!$N$73*SUBSIDIO!$AA$73))*(0.03)/(1-0.03)</f>
        <v>20.91545168920441</v>
      </c>
      <c r="AF73" s="4" t="s">
        <v>466</v>
      </c>
    </row>
    <row r="74" spans="1:32" ht="11.25" customHeight="1" x14ac:dyDescent="0.25">
      <c r="A74" s="4" t="s">
        <v>21</v>
      </c>
      <c r="B74" s="4" t="s">
        <v>28</v>
      </c>
      <c r="C74" s="4" t="s">
        <v>23</v>
      </c>
      <c r="D74" s="4" t="s">
        <v>37</v>
      </c>
      <c r="E74" s="4" t="s">
        <v>38</v>
      </c>
      <c r="F74" s="4" t="s">
        <v>25</v>
      </c>
      <c r="G74" s="4" t="s">
        <v>25</v>
      </c>
      <c r="H74" s="4" t="s">
        <v>25</v>
      </c>
      <c r="I74" s="5">
        <v>44682</v>
      </c>
      <c r="J74" s="6">
        <v>0</v>
      </c>
      <c r="K74" s="58">
        <v>0</v>
      </c>
      <c r="L74" s="6">
        <v>1.1619999999999999</v>
      </c>
      <c r="M74" s="58">
        <v>1.1619999999999999</v>
      </c>
      <c r="N74" s="6">
        <v>1.1619999999999999</v>
      </c>
      <c r="O74" s="58">
        <v>1.1619999999999999</v>
      </c>
      <c r="P74" s="6">
        <v>3</v>
      </c>
      <c r="Q74" s="4" t="s">
        <v>26</v>
      </c>
      <c r="R74" s="4">
        <v>0</v>
      </c>
      <c r="S74" s="4">
        <v>0</v>
      </c>
      <c r="T74" s="4">
        <v>42</v>
      </c>
      <c r="U74" s="4">
        <v>50</v>
      </c>
      <c r="V74" s="58">
        <f>IF(ISERROR(VLOOKUP($S$74,'TAR FIN'!$A$1:$O$73,15,0)),0,VLOOKUP($S$74,'TAR FIN'!$A$1:$O$73,15,0))</f>
        <v>0</v>
      </c>
      <c r="W74" s="58">
        <f>IF(ISERROR(VLOOKUP($T$74,'TAR FIN'!$A$1:$O$73,15,0)),0,VLOOKUP($T$74,'TAR FIN'!$A$1:$O$73,15,0))*(1-0.06)</f>
        <v>361.75900000000001</v>
      </c>
      <c r="X74" s="58">
        <f>IF(ISERROR(VLOOKUP($U$74,'TAR FIN'!$A$1:$O$73,15,0)),0,VLOOKUP($U$74,'TAR FIN'!$A$1:$O$73,15,0))*(1-0.06)</f>
        <v>233.2046</v>
      </c>
      <c r="Y74" s="58"/>
      <c r="Z74" s="58">
        <f ca="1">('TUSD BE'!$AM$48+'TUSD BF'!$AM$48+'TUSD CVA'!$AM$48)*1*(1-0.03)</f>
        <v>471.50889265045436</v>
      </c>
      <c r="AA74" s="58">
        <f>('TE BE'!$AB$38+'TE BF'!$AB$38+'TE CVA'!$AB$38)*1*(1-0.03)</f>
        <v>186.3376747467012</v>
      </c>
      <c r="AB74" s="58">
        <f>(SUBSIDIO!$J$74*SUBSIDIO!$V$74)*(0.06)/(1-0.06)</f>
        <v>0</v>
      </c>
      <c r="AC74" s="58">
        <f>((SUBSIDIO!$L$74*SUBSIDIO!$W$74)+(SUBSIDIO!$N$74*SUBSIDIO!$X$74))*(0.06)/(1-0.06)</f>
        <v>44.128576799999998</v>
      </c>
      <c r="AD74" s="58">
        <f>(SUBSIDIO!$J$74*SUBSIDIO!$Y$74)*(0.03)/(1-0.03)</f>
        <v>0</v>
      </c>
      <c r="AE74" s="58">
        <f ca="1">((SUBSIDIO!$L$74*SUBSIDIO!$Z$74)+(SUBSIDIO!$N$74*SUBSIDIO!$AA$74))*(0.03)/(1-0.03)</f>
        <v>23.641784886046224</v>
      </c>
      <c r="AF74" s="4" t="s">
        <v>466</v>
      </c>
    </row>
    <row r="75" spans="1:32" ht="11.25" customHeight="1" x14ac:dyDescent="0.25">
      <c r="A75" s="4" t="s">
        <v>21</v>
      </c>
      <c r="B75" s="4" t="s">
        <v>28</v>
      </c>
      <c r="C75" s="4" t="s">
        <v>23</v>
      </c>
      <c r="D75" s="4" t="s">
        <v>37</v>
      </c>
      <c r="E75" s="4" t="s">
        <v>38</v>
      </c>
      <c r="F75" s="4" t="s">
        <v>25</v>
      </c>
      <c r="G75" s="4" t="s">
        <v>25</v>
      </c>
      <c r="H75" s="4" t="s">
        <v>25</v>
      </c>
      <c r="I75" s="5">
        <v>44713</v>
      </c>
      <c r="J75" s="6">
        <v>0</v>
      </c>
      <c r="K75" s="58">
        <v>0</v>
      </c>
      <c r="L75" s="6">
        <v>0.93</v>
      </c>
      <c r="M75" s="58">
        <v>0.93</v>
      </c>
      <c r="N75" s="6">
        <v>0.93</v>
      </c>
      <c r="O75" s="58">
        <v>0.93</v>
      </c>
      <c r="P75" s="6">
        <v>3</v>
      </c>
      <c r="Q75" s="4" t="s">
        <v>26</v>
      </c>
      <c r="R75" s="4">
        <v>0</v>
      </c>
      <c r="S75" s="4">
        <v>0</v>
      </c>
      <c r="T75" s="4">
        <v>42</v>
      </c>
      <c r="U75" s="4">
        <v>50</v>
      </c>
      <c r="V75" s="58">
        <f>IF(ISERROR(VLOOKUP($S$75,'TAR FIN'!$A$1:$O$73,15,0)),0,VLOOKUP($S$75,'TAR FIN'!$A$1:$O$73,15,0))</f>
        <v>0</v>
      </c>
      <c r="W75" s="58">
        <f>IF(ISERROR(VLOOKUP($T$75,'TAR FIN'!$A$1:$O$73,15,0)),0,VLOOKUP($T$75,'TAR FIN'!$A$1:$O$73,15,0))*(1-0.06)</f>
        <v>361.75900000000001</v>
      </c>
      <c r="X75" s="58">
        <f>IF(ISERROR(VLOOKUP($U$75,'TAR FIN'!$A$1:$O$73,15,0)),0,VLOOKUP($U$75,'TAR FIN'!$A$1:$O$73,15,0))*(1-0.06)</f>
        <v>233.2046</v>
      </c>
      <c r="Y75" s="58"/>
      <c r="Z75" s="58">
        <f ca="1">('TUSD BE'!$AM$48+'TUSD BF'!$AM$48+'TUSD CVA'!$AM$48)*1*(1-0.03)</f>
        <v>471.50889265045436</v>
      </c>
      <c r="AA75" s="58">
        <f>('TE BE'!$AB$38+'TE BF'!$AB$38+'TE CVA'!$AB$38)*1*(1-0.03)</f>
        <v>186.3376747467012</v>
      </c>
      <c r="AB75" s="58">
        <f>(SUBSIDIO!$J$75*SUBSIDIO!$V$75)*(0.06)/(1-0.06)</f>
        <v>0</v>
      </c>
      <c r="AC75" s="58">
        <f>((SUBSIDIO!$L$75*SUBSIDIO!$W$75)+(SUBSIDIO!$N$75*SUBSIDIO!$X$75))*(0.06)/(1-0.06)</f>
        <v>35.318051999999994</v>
      </c>
      <c r="AD75" s="58">
        <f>(SUBSIDIO!$J$75*SUBSIDIO!$Y$75)*(0.03)/(1-0.03)</f>
        <v>0</v>
      </c>
      <c r="AE75" s="58">
        <f ca="1">((SUBSIDIO!$L$75*SUBSIDIO!$Z$75)+(SUBSIDIO!$N$75*SUBSIDIO!$AA$75))*(0.03)/(1-0.03)</f>
        <v>18.921566216887257</v>
      </c>
      <c r="AF75" s="4" t="s">
        <v>466</v>
      </c>
    </row>
    <row r="76" spans="1:32" ht="11.25" customHeight="1" x14ac:dyDescent="0.25">
      <c r="A76" s="4" t="s">
        <v>21</v>
      </c>
      <c r="B76" s="4" t="s">
        <v>28</v>
      </c>
      <c r="C76" s="4" t="s">
        <v>23</v>
      </c>
      <c r="D76" s="4" t="s">
        <v>37</v>
      </c>
      <c r="E76" s="4" t="s">
        <v>38</v>
      </c>
      <c r="F76" s="4" t="s">
        <v>25</v>
      </c>
      <c r="G76" s="4" t="s">
        <v>25</v>
      </c>
      <c r="H76" s="4" t="s">
        <v>25</v>
      </c>
      <c r="I76" s="5">
        <v>44743</v>
      </c>
      <c r="J76" s="6">
        <v>0</v>
      </c>
      <c r="K76" s="58">
        <v>0</v>
      </c>
      <c r="L76" s="6">
        <v>0.749</v>
      </c>
      <c r="M76" s="58">
        <v>0.749</v>
      </c>
      <c r="N76" s="6">
        <v>0.749</v>
      </c>
      <c r="O76" s="58">
        <v>0.749</v>
      </c>
      <c r="P76" s="6">
        <v>3</v>
      </c>
      <c r="Q76" s="4" t="s">
        <v>26</v>
      </c>
      <c r="R76" s="4">
        <v>0</v>
      </c>
      <c r="S76" s="4">
        <v>0</v>
      </c>
      <c r="T76" s="4">
        <v>42</v>
      </c>
      <c r="U76" s="4">
        <v>50</v>
      </c>
      <c r="V76" s="58">
        <f>IF(ISERROR(VLOOKUP($S$76,'TAR FIN'!$A$1:$O$73,15,0)),0,VLOOKUP($S$76,'TAR FIN'!$A$1:$O$73,15,0))</f>
        <v>0</v>
      </c>
      <c r="W76" s="58">
        <f>IF(ISERROR(VLOOKUP($T$76,'TAR FIN'!$A$1:$O$73,15,0)),0,VLOOKUP($T$76,'TAR FIN'!$A$1:$O$73,15,0))*(1-0.06)</f>
        <v>361.75900000000001</v>
      </c>
      <c r="X76" s="58">
        <f>IF(ISERROR(VLOOKUP($U$76,'TAR FIN'!$A$1:$O$73,15,0)),0,VLOOKUP($U$76,'TAR FIN'!$A$1:$O$73,15,0))*(1-0.06)</f>
        <v>233.2046</v>
      </c>
      <c r="Y76" s="58"/>
      <c r="Z76" s="58">
        <f ca="1">('TUSD BE'!$AM$48+'TUSD BF'!$AM$48+'TUSD CVA'!$AM$48)*1*(1-0.03)</f>
        <v>471.50889265045436</v>
      </c>
      <c r="AA76" s="58">
        <f>('TE BE'!$AB$38+'TE BF'!$AB$38+'TE CVA'!$AB$38)*1*(1-0.03)</f>
        <v>186.3376747467012</v>
      </c>
      <c r="AB76" s="58">
        <f>(SUBSIDIO!$J$76*SUBSIDIO!$V$76)*(0.06)/(1-0.06)</f>
        <v>0</v>
      </c>
      <c r="AC76" s="58">
        <f>((SUBSIDIO!$L$76*SUBSIDIO!$W$76)+(SUBSIDIO!$N$76*SUBSIDIO!$X$76))*(0.06)/(1-0.06)</f>
        <v>28.444323600000001</v>
      </c>
      <c r="AD76" s="58">
        <f>(SUBSIDIO!$J$76*SUBSIDIO!$Y$76)*(0.03)/(1-0.03)</f>
        <v>0</v>
      </c>
      <c r="AE76" s="58">
        <f ca="1">((SUBSIDIO!$L$76*SUBSIDIO!$Z$76)+(SUBSIDIO!$N$76*SUBSIDIO!$AA$76))*(0.03)/(1-0.03)</f>
        <v>15.238981824138232</v>
      </c>
      <c r="AF76" s="4" t="s">
        <v>466</v>
      </c>
    </row>
    <row r="77" spans="1:32" ht="11.25" customHeight="1" x14ac:dyDescent="0.25">
      <c r="A77" s="4" t="s">
        <v>21</v>
      </c>
      <c r="B77" s="4" t="s">
        <v>28</v>
      </c>
      <c r="C77" s="4" t="s">
        <v>23</v>
      </c>
      <c r="D77" s="4" t="s">
        <v>37</v>
      </c>
      <c r="E77" s="4" t="s">
        <v>38</v>
      </c>
      <c r="F77" s="4" t="s">
        <v>25</v>
      </c>
      <c r="G77" s="4" t="s">
        <v>25</v>
      </c>
      <c r="H77" s="4" t="s">
        <v>25</v>
      </c>
      <c r="I77" s="5">
        <v>44774</v>
      </c>
      <c r="J77" s="6">
        <v>0</v>
      </c>
      <c r="K77" s="58">
        <v>0</v>
      </c>
      <c r="L77" s="6">
        <v>0.77200000000000002</v>
      </c>
      <c r="M77" s="58">
        <v>0.77200000000000002</v>
      </c>
      <c r="N77" s="6">
        <v>0.77200000000000002</v>
      </c>
      <c r="O77" s="58">
        <v>0.77200000000000002</v>
      </c>
      <c r="P77" s="6">
        <v>3</v>
      </c>
      <c r="Q77" s="4" t="s">
        <v>26</v>
      </c>
      <c r="R77" s="4">
        <v>0</v>
      </c>
      <c r="S77" s="4">
        <v>0</v>
      </c>
      <c r="T77" s="4">
        <v>42</v>
      </c>
      <c r="U77" s="4">
        <v>50</v>
      </c>
      <c r="V77" s="58">
        <f>IF(ISERROR(VLOOKUP($S$77,'TAR FIN'!$A$1:$O$73,15,0)),0,VLOOKUP($S$77,'TAR FIN'!$A$1:$O$73,15,0))</f>
        <v>0</v>
      </c>
      <c r="W77" s="58">
        <f>IF(ISERROR(VLOOKUP($T$77,'TAR FIN'!$A$1:$O$73,15,0)),0,VLOOKUP($T$77,'TAR FIN'!$A$1:$O$73,15,0))*(1-0.06)</f>
        <v>361.75900000000001</v>
      </c>
      <c r="X77" s="58">
        <f>IF(ISERROR(VLOOKUP($U$77,'TAR FIN'!$A$1:$O$73,15,0)),0,VLOOKUP($U$77,'TAR FIN'!$A$1:$O$73,15,0))*(1-0.06)</f>
        <v>233.2046</v>
      </c>
      <c r="Y77" s="58"/>
      <c r="Z77" s="58">
        <f ca="1">('TUSD BE'!$AM$48+'TUSD BF'!$AM$48+'TUSD CVA'!$AM$48)*1*(1-0.03)</f>
        <v>471.50889265045436</v>
      </c>
      <c r="AA77" s="58">
        <f>('TE BE'!$AB$38+'TE BF'!$AB$38+'TE CVA'!$AB$38)*1*(1-0.03)</f>
        <v>186.3376747467012</v>
      </c>
      <c r="AB77" s="58">
        <f>(SUBSIDIO!$J$77*SUBSIDIO!$V$77)*(0.06)/(1-0.06)</f>
        <v>0</v>
      </c>
      <c r="AC77" s="58">
        <f>((SUBSIDIO!$L$77*SUBSIDIO!$W$77)+(SUBSIDIO!$N$77*SUBSIDIO!$X$77))*(0.06)/(1-0.06)</f>
        <v>29.317780800000005</v>
      </c>
      <c r="AD77" s="58">
        <f>(SUBSIDIO!$J$77*SUBSIDIO!$Y$77)*(0.03)/(1-0.03)</f>
        <v>0</v>
      </c>
      <c r="AE77" s="58">
        <f ca="1">((SUBSIDIO!$L$77*SUBSIDIO!$Z$77)+(SUBSIDIO!$N$77*SUBSIDIO!$AA$77))*(0.03)/(1-0.03)</f>
        <v>15.706934537028992</v>
      </c>
      <c r="AF77" s="4" t="s">
        <v>466</v>
      </c>
    </row>
    <row r="78" spans="1:32" ht="11.25" customHeight="1" x14ac:dyDescent="0.25">
      <c r="A78" s="4" t="s">
        <v>21</v>
      </c>
      <c r="B78" s="4" t="s">
        <v>28</v>
      </c>
      <c r="C78" s="4" t="s">
        <v>23</v>
      </c>
      <c r="D78" s="4" t="s">
        <v>37</v>
      </c>
      <c r="E78" s="4" t="s">
        <v>38</v>
      </c>
      <c r="F78" s="4" t="s">
        <v>25</v>
      </c>
      <c r="G78" s="4" t="s">
        <v>25</v>
      </c>
      <c r="H78" s="4" t="s">
        <v>25</v>
      </c>
      <c r="I78" s="5">
        <v>44805</v>
      </c>
      <c r="J78" s="6">
        <v>0</v>
      </c>
      <c r="K78" s="58">
        <v>0</v>
      </c>
      <c r="L78" s="6">
        <v>0.83299999999999996</v>
      </c>
      <c r="M78" s="58">
        <v>0.83299999999999996</v>
      </c>
      <c r="N78" s="6">
        <v>0.83299999999999996</v>
      </c>
      <c r="O78" s="58">
        <v>0.83299999999999996</v>
      </c>
      <c r="P78" s="6">
        <v>3</v>
      </c>
      <c r="Q78" s="4" t="s">
        <v>26</v>
      </c>
      <c r="R78" s="4">
        <v>0</v>
      </c>
      <c r="S78" s="4">
        <v>0</v>
      </c>
      <c r="T78" s="4">
        <v>42</v>
      </c>
      <c r="U78" s="4">
        <v>50</v>
      </c>
      <c r="V78" s="58">
        <f>IF(ISERROR(VLOOKUP($S$78,'TAR FIN'!$A$1:$O$73,15,0)),0,VLOOKUP($S$78,'TAR FIN'!$A$1:$O$73,15,0))</f>
        <v>0</v>
      </c>
      <c r="W78" s="58">
        <f>IF(ISERROR(VLOOKUP($T$78,'TAR FIN'!$A$1:$O$73,15,0)),0,VLOOKUP($T$78,'TAR FIN'!$A$1:$O$73,15,0))*(1-0.06)</f>
        <v>361.75900000000001</v>
      </c>
      <c r="X78" s="58">
        <f>IF(ISERROR(VLOOKUP($U$78,'TAR FIN'!$A$1:$O$73,15,0)),0,VLOOKUP($U$78,'TAR FIN'!$A$1:$O$73,15,0))*(1-0.06)</f>
        <v>233.2046</v>
      </c>
      <c r="Y78" s="58"/>
      <c r="Z78" s="58">
        <f ca="1">('TUSD BE'!$AM$48+'TUSD BF'!$AM$48+'TUSD CVA'!$AM$48)*1*(1-0.03)</f>
        <v>471.50889265045436</v>
      </c>
      <c r="AA78" s="58">
        <f>('TE BE'!$AB$38+'TE BF'!$AB$38+'TE CVA'!$AB$38)*1*(1-0.03)</f>
        <v>186.3376747467012</v>
      </c>
      <c r="AB78" s="58">
        <f>(SUBSIDIO!$J$78*SUBSIDIO!$V$78)*(0.06)/(1-0.06)</f>
        <v>0</v>
      </c>
      <c r="AC78" s="58">
        <f>((SUBSIDIO!$L$78*SUBSIDIO!$W$78)+(SUBSIDIO!$N$78*SUBSIDIO!$X$78))*(0.06)/(1-0.06)</f>
        <v>31.634341199999998</v>
      </c>
      <c r="AD78" s="58">
        <f>(SUBSIDIO!$J$78*SUBSIDIO!$Y$78)*(0.03)/(1-0.03)</f>
        <v>0</v>
      </c>
      <c r="AE78" s="58">
        <f ca="1">((SUBSIDIO!$L$78*SUBSIDIO!$Z$78)+(SUBSIDIO!$N$78*SUBSIDIO!$AA$78))*(0.03)/(1-0.03)</f>
        <v>16.94802651469579</v>
      </c>
      <c r="AF78" s="4" t="s">
        <v>466</v>
      </c>
    </row>
    <row r="79" spans="1:32" ht="11.25" customHeight="1" x14ac:dyDescent="0.25">
      <c r="A79" s="4" t="s">
        <v>21</v>
      </c>
      <c r="B79" s="4" t="s">
        <v>28</v>
      </c>
      <c r="C79" s="4" t="s">
        <v>23</v>
      </c>
      <c r="D79" s="4" t="s">
        <v>37</v>
      </c>
      <c r="E79" s="4" t="s">
        <v>38</v>
      </c>
      <c r="F79" s="4" t="s">
        <v>25</v>
      </c>
      <c r="G79" s="4" t="s">
        <v>25</v>
      </c>
      <c r="H79" s="4" t="s">
        <v>25</v>
      </c>
      <c r="I79" s="5">
        <v>44835</v>
      </c>
      <c r="J79" s="6">
        <v>0</v>
      </c>
      <c r="K79" s="58">
        <v>0</v>
      </c>
      <c r="L79" s="6">
        <v>0.81399999999999995</v>
      </c>
      <c r="M79" s="58">
        <v>0.81399999999999995</v>
      </c>
      <c r="N79" s="6">
        <v>0.81399999999999995</v>
      </c>
      <c r="O79" s="58">
        <v>0.81399999999999995</v>
      </c>
      <c r="P79" s="6">
        <v>3</v>
      </c>
      <c r="Q79" s="4" t="s">
        <v>26</v>
      </c>
      <c r="R79" s="4">
        <v>0</v>
      </c>
      <c r="S79" s="4">
        <v>0</v>
      </c>
      <c r="T79" s="4">
        <v>42</v>
      </c>
      <c r="U79" s="4">
        <v>50</v>
      </c>
      <c r="V79" s="58">
        <f>IF(ISERROR(VLOOKUP($S$79,'TAR FIN'!$A$1:$O$73,15,0)),0,VLOOKUP($S$79,'TAR FIN'!$A$1:$O$73,15,0))</f>
        <v>0</v>
      </c>
      <c r="W79" s="58">
        <f>IF(ISERROR(VLOOKUP($T$79,'TAR FIN'!$A$1:$O$73,15,0)),0,VLOOKUP($T$79,'TAR FIN'!$A$1:$O$73,15,0))*(1-0.06)</f>
        <v>361.75900000000001</v>
      </c>
      <c r="X79" s="58">
        <f>IF(ISERROR(VLOOKUP($U$79,'TAR FIN'!$A$1:$O$73,15,0)),0,VLOOKUP($U$79,'TAR FIN'!$A$1:$O$73,15,0))*(1-0.06)</f>
        <v>233.2046</v>
      </c>
      <c r="Y79" s="58"/>
      <c r="Z79" s="58">
        <f ca="1">('TUSD BE'!$AM$48+'TUSD BF'!$AM$48+'TUSD CVA'!$AM$48)*1*(1-0.03)</f>
        <v>471.50889265045436</v>
      </c>
      <c r="AA79" s="58">
        <f>('TE BE'!$AB$38+'TE BF'!$AB$38+'TE CVA'!$AB$38)*1*(1-0.03)</f>
        <v>186.3376747467012</v>
      </c>
      <c r="AB79" s="58">
        <f>(SUBSIDIO!$J$79*SUBSIDIO!$V$79)*(0.06)/(1-0.06)</f>
        <v>0</v>
      </c>
      <c r="AC79" s="58">
        <f>((SUBSIDIO!$L$79*SUBSIDIO!$W$79)+(SUBSIDIO!$N$79*SUBSIDIO!$X$79))*(0.06)/(1-0.06)</f>
        <v>30.9127896</v>
      </c>
      <c r="AD79" s="58">
        <f>(SUBSIDIO!$J$79*SUBSIDIO!$Y$79)*(0.03)/(1-0.03)</f>
        <v>0</v>
      </c>
      <c r="AE79" s="58">
        <f ca="1">((SUBSIDIO!$L$79*SUBSIDIO!$Z$79)+(SUBSIDIO!$N$79*SUBSIDIO!$AA$79))*(0.03)/(1-0.03)</f>
        <v>16.561456882307773</v>
      </c>
      <c r="AF79" s="4" t="s">
        <v>466</v>
      </c>
    </row>
    <row r="80" spans="1:32" ht="11.25" customHeight="1" x14ac:dyDescent="0.25"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22:31" ht="11.25" customHeight="1" x14ac:dyDescent="0.25"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22:31" ht="11.25" customHeight="1" x14ac:dyDescent="0.25"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22:31" ht="11.25" customHeight="1" x14ac:dyDescent="0.25"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22:31" ht="11.25" customHeight="1" x14ac:dyDescent="0.25"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22:31" ht="11.25" customHeight="1" x14ac:dyDescent="0.25"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22:31" ht="11.25" customHeight="1" x14ac:dyDescent="0.25"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22:31" ht="11.25" customHeight="1" x14ac:dyDescent="0.25"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22:31" ht="11.25" customHeight="1" x14ac:dyDescent="0.25"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22:31" ht="11.25" customHeight="1" x14ac:dyDescent="0.25"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22:31" ht="11.25" customHeight="1" x14ac:dyDescent="0.25"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22:31" ht="11.25" customHeight="1" x14ac:dyDescent="0.25"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22:31" ht="11.25" customHeight="1" x14ac:dyDescent="0.25"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22:31" ht="11.25" customHeight="1" x14ac:dyDescent="0.25"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22:31" ht="11.25" customHeight="1" x14ac:dyDescent="0.25"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22:31" ht="11.25" customHeight="1" x14ac:dyDescent="0.25"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22:31" ht="11.25" customHeight="1" x14ac:dyDescent="0.25"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22:31" ht="11.25" customHeight="1" x14ac:dyDescent="0.25"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22:31" ht="11.25" customHeight="1" x14ac:dyDescent="0.25"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22:31" ht="11.25" customHeight="1" x14ac:dyDescent="0.25"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22:31" ht="11.25" customHeight="1" x14ac:dyDescent="0.25"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22:31" ht="11.25" customHeight="1" x14ac:dyDescent="0.25"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22:31" ht="11.25" customHeight="1" x14ac:dyDescent="0.25"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22:31" ht="11.25" customHeight="1" x14ac:dyDescent="0.25"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22:31" ht="11.25" customHeight="1" x14ac:dyDescent="0.25"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22:31" ht="11.25" customHeight="1" x14ac:dyDescent="0.25"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22:31" ht="11.25" customHeight="1" x14ac:dyDescent="0.25"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22:31" ht="11.25" customHeight="1" x14ac:dyDescent="0.25"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22:31" ht="11.25" customHeight="1" x14ac:dyDescent="0.25"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22:31" ht="11.25" customHeight="1" x14ac:dyDescent="0.25"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22:31" ht="11.25" customHeight="1" x14ac:dyDescent="0.25"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22:31" ht="11.25" customHeight="1" x14ac:dyDescent="0.25"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22:31" ht="11.25" customHeight="1" x14ac:dyDescent="0.25"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22:31" ht="11.25" customHeight="1" x14ac:dyDescent="0.25"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22:31" ht="11.25" customHeight="1" x14ac:dyDescent="0.25"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22:31" ht="11.25" customHeight="1" x14ac:dyDescent="0.25"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22:31" ht="11.25" customHeight="1" x14ac:dyDescent="0.25"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22:31" ht="11.25" customHeight="1" x14ac:dyDescent="0.25"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22:31" ht="11.25" customHeight="1" x14ac:dyDescent="0.25"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22:31" ht="11.25" customHeight="1" x14ac:dyDescent="0.25"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22:31" ht="11.25" customHeight="1" x14ac:dyDescent="0.25"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22:31" ht="11.25" customHeight="1" x14ac:dyDescent="0.25"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22:31" ht="11.25" customHeight="1" x14ac:dyDescent="0.25"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22:31" ht="11.25" customHeight="1" x14ac:dyDescent="0.25"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22:31" ht="11.25" customHeight="1" x14ac:dyDescent="0.25"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22:31" ht="11.25" customHeight="1" x14ac:dyDescent="0.25"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22:31" ht="11.25" customHeight="1" x14ac:dyDescent="0.25"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22:31" ht="11.25" customHeight="1" x14ac:dyDescent="0.25"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22:31" ht="11.25" customHeight="1" x14ac:dyDescent="0.25"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22:31" ht="11.25" customHeight="1" x14ac:dyDescent="0.25"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22:31" ht="11.25" customHeight="1" x14ac:dyDescent="0.25"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22:31" ht="11.25" customHeight="1" x14ac:dyDescent="0.25"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22:31" ht="11.25" customHeight="1" x14ac:dyDescent="0.25"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22:31" ht="11.25" customHeight="1" x14ac:dyDescent="0.25"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22:31" ht="11.25" customHeight="1" x14ac:dyDescent="0.25"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22:31" ht="11.25" customHeight="1" x14ac:dyDescent="0.25"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22:31" ht="11.25" customHeight="1" x14ac:dyDescent="0.25"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22:31" ht="11.25" customHeight="1" x14ac:dyDescent="0.25"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22:31" ht="11.25" customHeight="1" x14ac:dyDescent="0.25"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22:31" ht="11.25" customHeight="1" x14ac:dyDescent="0.25"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22:31" ht="11.25" customHeight="1" x14ac:dyDescent="0.25"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22:31" ht="11.25" customHeight="1" x14ac:dyDescent="0.25"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22:31" ht="11.25" customHeight="1" x14ac:dyDescent="0.25"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22:31" ht="11.25" customHeight="1" x14ac:dyDescent="0.25"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22:31" ht="11.25" customHeight="1" x14ac:dyDescent="0.25"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22:31" ht="11.25" customHeight="1" x14ac:dyDescent="0.25"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22:31" ht="11.25" customHeight="1" x14ac:dyDescent="0.25"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22:31" ht="11.25" customHeight="1" x14ac:dyDescent="0.25"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22:31" ht="11.25" customHeight="1" x14ac:dyDescent="0.25"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22:31" ht="11.25" customHeight="1" x14ac:dyDescent="0.25"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22:31" ht="11.25" customHeight="1" x14ac:dyDescent="0.25"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22:31" ht="11.25" customHeight="1" x14ac:dyDescent="0.25"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22:31" ht="11.25" customHeight="1" x14ac:dyDescent="0.25"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22:31" ht="11.25" customHeight="1" x14ac:dyDescent="0.25"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22:31" ht="11.25" customHeight="1" x14ac:dyDescent="0.25"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22:31" ht="11.25" customHeight="1" x14ac:dyDescent="0.25"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22:31" ht="11.25" customHeight="1" x14ac:dyDescent="0.25"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22:31" ht="11.25" customHeight="1" x14ac:dyDescent="0.25"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22:31" ht="11.25" customHeight="1" x14ac:dyDescent="0.25"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22:31" ht="11.25" customHeight="1" x14ac:dyDescent="0.25"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22:31" ht="11.25" customHeight="1" x14ac:dyDescent="0.25"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22:31" ht="11.25" customHeight="1" x14ac:dyDescent="0.25"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22:31" ht="11.25" customHeight="1" x14ac:dyDescent="0.25"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22:31" ht="11.25" customHeight="1" x14ac:dyDescent="0.25"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22:31" ht="11.25" customHeight="1" x14ac:dyDescent="0.25"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22:31" ht="11.25" customHeight="1" x14ac:dyDescent="0.25"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22:31" ht="11.25" customHeight="1" x14ac:dyDescent="0.25"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22:31" ht="11.25" customHeight="1" x14ac:dyDescent="0.25"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22:31" ht="11.25" customHeight="1" x14ac:dyDescent="0.25"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22:31" ht="11.25" customHeight="1" x14ac:dyDescent="0.25"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22:31" ht="11.25" customHeight="1" x14ac:dyDescent="0.25"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22:31" ht="11.25" customHeight="1" x14ac:dyDescent="0.25"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22:31" ht="11.25" customHeight="1" x14ac:dyDescent="0.25"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22:31" ht="11.25" customHeight="1" x14ac:dyDescent="0.25"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22:31" ht="11.25" customHeight="1" x14ac:dyDescent="0.25"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22:31" ht="11.25" customHeight="1" x14ac:dyDescent="0.25"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C047-7295-4481-812F-F2A988733B9E}">
  <sheetPr codeName="Planilha18"/>
  <dimension ref="A1:J186"/>
  <sheetViews>
    <sheetView showGridLines="0" workbookViewId="0"/>
  </sheetViews>
  <sheetFormatPr defaultColWidth="9.140625" defaultRowHeight="11.25" customHeight="1" x14ac:dyDescent="0.2"/>
  <cols>
    <col min="1" max="1" width="34.7109375" style="14" bestFit="1" customWidth="1"/>
    <col min="2" max="2" width="24.5703125" style="45" bestFit="1" customWidth="1"/>
    <col min="3" max="3" width="25.5703125" style="45" bestFit="1" customWidth="1"/>
    <col min="4" max="4" width="26" style="45" bestFit="1" customWidth="1"/>
    <col min="5" max="5" width="26.85546875" style="45" bestFit="1" customWidth="1"/>
    <col min="6" max="6" width="23.7109375" style="45" bestFit="1" customWidth="1"/>
    <col min="7" max="7" width="24.5703125" style="45" bestFit="1" customWidth="1"/>
    <col min="8" max="8" width="18.28515625" style="46" bestFit="1" customWidth="1"/>
    <col min="9" max="9" width="16" style="46" bestFit="1" customWidth="1"/>
    <col min="10" max="10" width="13.85546875" style="46" bestFit="1" customWidth="1"/>
    <col min="11" max="16384" width="9.140625" style="14"/>
  </cols>
  <sheetData>
    <row r="1" spans="1:10" ht="11.25" customHeight="1" x14ac:dyDescent="0.2">
      <c r="A1" s="44" t="s">
        <v>449</v>
      </c>
      <c r="B1" s="45" t="s">
        <v>450</v>
      </c>
      <c r="C1" s="45" t="s">
        <v>451</v>
      </c>
      <c r="D1" s="45" t="s">
        <v>452</v>
      </c>
      <c r="E1" s="45" t="s">
        <v>453</v>
      </c>
      <c r="F1" s="45" t="s">
        <v>454</v>
      </c>
      <c r="G1" s="45" t="s">
        <v>455</v>
      </c>
      <c r="H1" s="46" t="s">
        <v>456</v>
      </c>
      <c r="I1" s="46" t="s">
        <v>457</v>
      </c>
      <c r="J1" s="46" t="s">
        <v>458</v>
      </c>
    </row>
    <row r="2" spans="1:10" ht="11.25" customHeight="1" x14ac:dyDescent="0.2">
      <c r="A2" s="47" t="s">
        <v>26</v>
      </c>
      <c r="B2" s="45">
        <v>0</v>
      </c>
      <c r="C2" s="45">
        <v>0</v>
      </c>
      <c r="D2" s="45">
        <v>4796749.9294090029</v>
      </c>
      <c r="E2" s="45">
        <v>6235803.0799489701</v>
      </c>
      <c r="F2" s="45">
        <v>3101255.5699186004</v>
      </c>
      <c r="G2" s="45">
        <v>2472593.4193663676</v>
      </c>
      <c r="H2" s="46">
        <v>0.3000058730844184</v>
      </c>
      <c r="I2" s="46">
        <v>-0.20271213912523056</v>
      </c>
      <c r="J2" s="46">
        <v>0.102607044279309</v>
      </c>
    </row>
    <row r="3" spans="1:10" ht="11.25" customHeight="1" x14ac:dyDescent="0.2">
      <c r="A3" s="48" t="s">
        <v>22</v>
      </c>
      <c r="B3" s="45">
        <v>0</v>
      </c>
      <c r="C3" s="45">
        <v>0</v>
      </c>
      <c r="D3" s="45">
        <v>1375217.0854500004</v>
      </c>
      <c r="E3" s="45">
        <v>1733932.287822789</v>
      </c>
      <c r="F3" s="45">
        <v>895599.33476000011</v>
      </c>
      <c r="G3" s="45">
        <v>693479.28495540877</v>
      </c>
      <c r="H3" s="46">
        <v>0.26084260162853434</v>
      </c>
      <c r="I3" s="46">
        <v>-0.22568133088079523</v>
      </c>
      <c r="J3" s="46">
        <v>6.8959846852664208E-2</v>
      </c>
    </row>
    <row r="4" spans="1:10" ht="11.25" customHeight="1" x14ac:dyDescent="0.2">
      <c r="A4" s="49" t="s">
        <v>23</v>
      </c>
      <c r="B4" s="45">
        <v>0</v>
      </c>
      <c r="C4" s="45">
        <v>0</v>
      </c>
      <c r="D4" s="45">
        <v>1375217.0854500004</v>
      </c>
      <c r="E4" s="45">
        <v>1733932.287822789</v>
      </c>
      <c r="F4" s="45">
        <v>895599.33476000011</v>
      </c>
      <c r="G4" s="45">
        <v>693479.28495540877</v>
      </c>
      <c r="H4" s="46">
        <v>0.26084260162853434</v>
      </c>
      <c r="I4" s="46">
        <v>-0.22568133088079523</v>
      </c>
      <c r="J4" s="46">
        <v>6.8959846852664208E-2</v>
      </c>
    </row>
    <row r="5" spans="1:10" ht="11.25" customHeight="1" x14ac:dyDescent="0.2">
      <c r="A5" s="50" t="s">
        <v>24</v>
      </c>
      <c r="B5" s="45">
        <v>0</v>
      </c>
      <c r="C5" s="45">
        <v>0</v>
      </c>
      <c r="D5" s="45">
        <v>1375217.0854500004</v>
      </c>
      <c r="E5" s="45">
        <v>1733932.287822789</v>
      </c>
      <c r="F5" s="45">
        <v>895599.33476000011</v>
      </c>
      <c r="G5" s="45">
        <v>693479.28495540877</v>
      </c>
      <c r="H5" s="46">
        <v>0.26084260162853434</v>
      </c>
      <c r="I5" s="46">
        <v>-0.22568133088079523</v>
      </c>
      <c r="J5" s="46">
        <v>6.8959846852664208E-2</v>
      </c>
    </row>
    <row r="6" spans="1:10" ht="11.25" customHeight="1" x14ac:dyDescent="0.2">
      <c r="A6" s="51" t="s">
        <v>24</v>
      </c>
      <c r="B6" s="45">
        <v>0</v>
      </c>
      <c r="C6" s="45">
        <v>0</v>
      </c>
      <c r="D6" s="45">
        <v>1329407.3672</v>
      </c>
      <c r="E6" s="45">
        <v>1679131.6354070953</v>
      </c>
      <c r="F6" s="45">
        <v>856990.18767999974</v>
      </c>
      <c r="G6" s="45">
        <v>663583.42209960485</v>
      </c>
      <c r="H6" s="46">
        <v>0.26306779760344257</v>
      </c>
      <c r="I6" s="46">
        <v>-0.22568142361580146</v>
      </c>
      <c r="J6" s="46">
        <v>7.1495461691220008E-2</v>
      </c>
    </row>
    <row r="7" spans="1:10" ht="11.25" customHeight="1" x14ac:dyDescent="0.2">
      <c r="A7" s="52" t="s">
        <v>25</v>
      </c>
      <c r="B7" s="45">
        <v>0</v>
      </c>
      <c r="C7" s="45">
        <v>0</v>
      </c>
      <c r="D7" s="45">
        <v>1329407.3672</v>
      </c>
      <c r="E7" s="45">
        <v>1679131.6354070953</v>
      </c>
      <c r="F7" s="45">
        <v>856990.18767999974</v>
      </c>
      <c r="G7" s="45">
        <v>663583.42209960485</v>
      </c>
      <c r="H7" s="46">
        <v>0.26306779760344257</v>
      </c>
      <c r="I7" s="46">
        <v>-0.22568142361580146</v>
      </c>
      <c r="J7" s="46">
        <v>7.1495461691220008E-2</v>
      </c>
    </row>
    <row r="8" spans="1:10" ht="11.25" customHeight="1" x14ac:dyDescent="0.2">
      <c r="A8" s="53" t="s">
        <v>25</v>
      </c>
      <c r="B8" s="45">
        <v>0</v>
      </c>
      <c r="C8" s="45">
        <v>0</v>
      </c>
      <c r="D8" s="45">
        <v>1329407.3672</v>
      </c>
      <c r="E8" s="45">
        <v>1679131.6354070953</v>
      </c>
      <c r="F8" s="45">
        <v>856990.18767999974</v>
      </c>
      <c r="G8" s="45">
        <v>663583.42209960485</v>
      </c>
      <c r="H8" s="46">
        <v>0.26306779760344257</v>
      </c>
      <c r="I8" s="46">
        <v>-0.22568142361580146</v>
      </c>
      <c r="J8" s="46">
        <v>7.1495461691220008E-2</v>
      </c>
    </row>
    <row r="9" spans="1:10" ht="11.25" customHeight="1" x14ac:dyDescent="0.2">
      <c r="A9" s="54" t="s">
        <v>25</v>
      </c>
      <c r="B9" s="45">
        <v>0</v>
      </c>
      <c r="C9" s="45">
        <v>0</v>
      </c>
      <c r="D9" s="45">
        <v>1329407.3672</v>
      </c>
      <c r="E9" s="45">
        <v>1679131.6354070953</v>
      </c>
      <c r="F9" s="45">
        <v>856990.18767999974</v>
      </c>
      <c r="G9" s="45">
        <v>663583.42209960485</v>
      </c>
      <c r="H9" s="46">
        <v>0.26306779760344257</v>
      </c>
      <c r="I9" s="46">
        <v>-0.22568142361580146</v>
      </c>
      <c r="J9" s="46">
        <v>7.1495461691220008E-2</v>
      </c>
    </row>
    <row r="10" spans="1:10" ht="11.25" customHeight="1" x14ac:dyDescent="0.2">
      <c r="A10" s="55">
        <v>44501</v>
      </c>
      <c r="B10" s="45">
        <v>0</v>
      </c>
      <c r="C10" s="45">
        <v>0</v>
      </c>
      <c r="D10" s="45">
        <v>102835.38365000002</v>
      </c>
      <c r="E10" s="45">
        <v>129888.06154251058</v>
      </c>
      <c r="F10" s="45">
        <v>66291.880810000017</v>
      </c>
      <c r="G10" s="45">
        <v>51331.034774630185</v>
      </c>
      <c r="H10" s="46">
        <v>0.26306779760344257</v>
      </c>
      <c r="I10" s="46">
        <v>-0.22568142361580146</v>
      </c>
      <c r="J10" s="46">
        <v>7.1495461691219786E-2</v>
      </c>
    </row>
    <row r="11" spans="1:10" ht="11.25" customHeight="1" x14ac:dyDescent="0.2">
      <c r="A11" s="55">
        <v>44531</v>
      </c>
      <c r="B11" s="45">
        <v>0</v>
      </c>
      <c r="C11" s="45">
        <v>0</v>
      </c>
      <c r="D11" s="45">
        <v>99829.320300000007</v>
      </c>
      <c r="E11" s="45">
        <v>126091.19972756965</v>
      </c>
      <c r="F11" s="45">
        <v>64354.049820000007</v>
      </c>
      <c r="G11" s="45">
        <v>49830.536241180205</v>
      </c>
      <c r="H11" s="46">
        <v>0.26306779760344257</v>
      </c>
      <c r="I11" s="46">
        <v>-0.22568142361580124</v>
      </c>
      <c r="J11" s="46">
        <v>7.1495461691220008E-2</v>
      </c>
    </row>
    <row r="12" spans="1:10" ht="11.25" customHeight="1" x14ac:dyDescent="0.2">
      <c r="A12" s="55">
        <v>44562</v>
      </c>
      <c r="B12" s="45">
        <v>0</v>
      </c>
      <c r="C12" s="45">
        <v>0</v>
      </c>
      <c r="D12" s="45">
        <v>111988.2712</v>
      </c>
      <c r="E12" s="45">
        <v>141448.77906200103</v>
      </c>
      <c r="F12" s="45">
        <v>72192.205280000009</v>
      </c>
      <c r="G12" s="45">
        <v>55899.765618445439</v>
      </c>
      <c r="H12" s="46">
        <v>0.26306779760344257</v>
      </c>
      <c r="I12" s="46">
        <v>-0.22568142361580135</v>
      </c>
      <c r="J12" s="46">
        <v>7.1495461691219786E-2</v>
      </c>
    </row>
    <row r="13" spans="1:10" ht="11.25" customHeight="1" x14ac:dyDescent="0.2">
      <c r="A13" s="55">
        <v>44593</v>
      </c>
      <c r="B13" s="45">
        <v>0</v>
      </c>
      <c r="C13" s="45">
        <v>0</v>
      </c>
      <c r="D13" s="45">
        <v>119266.93925</v>
      </c>
      <c r="E13" s="45">
        <v>150642.23028540108</v>
      </c>
      <c r="F13" s="45">
        <v>76884.331449999998</v>
      </c>
      <c r="G13" s="45">
        <v>59532.96607461488</v>
      </c>
      <c r="H13" s="46">
        <v>0.26306779760344257</v>
      </c>
      <c r="I13" s="46">
        <v>-0.22568142361580124</v>
      </c>
      <c r="J13" s="46">
        <v>7.1495461691220008E-2</v>
      </c>
    </row>
    <row r="14" spans="1:10" ht="11.25" customHeight="1" x14ac:dyDescent="0.2">
      <c r="A14" s="55">
        <v>44621</v>
      </c>
      <c r="B14" s="45">
        <v>0</v>
      </c>
      <c r="C14" s="45">
        <v>0</v>
      </c>
      <c r="D14" s="45">
        <v>114919.67365000001</v>
      </c>
      <c r="E14" s="45">
        <v>145151.33909841187</v>
      </c>
      <c r="F14" s="45">
        <v>74081.906810000015</v>
      </c>
      <c r="G14" s="45">
        <v>57362.996616946082</v>
      </c>
      <c r="H14" s="46">
        <v>0.26306779760344257</v>
      </c>
      <c r="I14" s="46">
        <v>-0.22568142361580135</v>
      </c>
      <c r="J14" s="46">
        <v>7.1495461691219786E-2</v>
      </c>
    </row>
    <row r="15" spans="1:10" ht="11.25" customHeight="1" x14ac:dyDescent="0.2">
      <c r="A15" s="55">
        <v>44652</v>
      </c>
      <c r="B15" s="45">
        <v>0</v>
      </c>
      <c r="C15" s="45">
        <v>0</v>
      </c>
      <c r="D15" s="45">
        <v>107238.4525</v>
      </c>
      <c r="E15" s="45">
        <v>135449.43601757637</v>
      </c>
      <c r="F15" s="45">
        <v>69130.278499999986</v>
      </c>
      <c r="G15" s="45">
        <v>53528.858833163176</v>
      </c>
      <c r="H15" s="46">
        <v>0.26306779760344234</v>
      </c>
      <c r="I15" s="46">
        <v>-0.22568142361580124</v>
      </c>
      <c r="J15" s="46">
        <v>7.1495461691219786E-2</v>
      </c>
    </row>
    <row r="16" spans="1:10" ht="11.25" customHeight="1" x14ac:dyDescent="0.2">
      <c r="A16" s="55">
        <v>44682</v>
      </c>
      <c r="B16" s="45">
        <v>0</v>
      </c>
      <c r="C16" s="45">
        <v>0</v>
      </c>
      <c r="D16" s="45">
        <v>105271.09930000002</v>
      </c>
      <c r="E16" s="45">
        <v>132964.53554414434</v>
      </c>
      <c r="F16" s="45">
        <v>67862.042420000012</v>
      </c>
      <c r="G16" s="45">
        <v>52546.840077178516</v>
      </c>
      <c r="H16" s="46">
        <v>0.26306779760344279</v>
      </c>
      <c r="I16" s="46">
        <v>-0.22568142361580124</v>
      </c>
      <c r="J16" s="46">
        <v>7.149546169122023E-2</v>
      </c>
    </row>
    <row r="17" spans="1:10" ht="11.25" customHeight="1" x14ac:dyDescent="0.2">
      <c r="A17" s="55">
        <v>44713</v>
      </c>
      <c r="B17" s="45">
        <v>0</v>
      </c>
      <c r="C17" s="45">
        <v>0</v>
      </c>
      <c r="D17" s="45">
        <v>113709.70525000001</v>
      </c>
      <c r="E17" s="45">
        <v>143623.06697625414</v>
      </c>
      <c r="F17" s="45">
        <v>73301.911850000004</v>
      </c>
      <c r="G17" s="45">
        <v>56759.032029932037</v>
      </c>
      <c r="H17" s="46">
        <v>0.26306779760344257</v>
      </c>
      <c r="I17" s="46">
        <v>-0.22568142361580112</v>
      </c>
      <c r="J17" s="46">
        <v>7.1495461691220008E-2</v>
      </c>
    </row>
    <row r="18" spans="1:10" ht="11.25" customHeight="1" x14ac:dyDescent="0.2">
      <c r="A18" s="55">
        <v>44743</v>
      </c>
      <c r="B18" s="45">
        <v>0</v>
      </c>
      <c r="C18" s="45">
        <v>0</v>
      </c>
      <c r="D18" s="45">
        <v>113019.6692</v>
      </c>
      <c r="E18" s="45">
        <v>142751.50466231364</v>
      </c>
      <c r="F18" s="45">
        <v>72857.086479999998</v>
      </c>
      <c r="G18" s="45">
        <v>56414.595482694051</v>
      </c>
      <c r="H18" s="46">
        <v>0.26306779760344257</v>
      </c>
      <c r="I18" s="46">
        <v>-0.22568142361580124</v>
      </c>
      <c r="J18" s="46">
        <v>7.1495461691220008E-2</v>
      </c>
    </row>
    <row r="19" spans="1:10" ht="11.25" customHeight="1" x14ac:dyDescent="0.2">
      <c r="A19" s="55">
        <v>44774</v>
      </c>
      <c r="B19" s="45">
        <v>0</v>
      </c>
      <c r="C19" s="45">
        <v>0</v>
      </c>
      <c r="D19" s="45">
        <v>111235.5046</v>
      </c>
      <c r="E19" s="45">
        <v>140497.98381042964</v>
      </c>
      <c r="F19" s="45">
        <v>71706.94124</v>
      </c>
      <c r="G19" s="45">
        <v>55524.016657822191</v>
      </c>
      <c r="H19" s="46">
        <v>0.26306779760344279</v>
      </c>
      <c r="I19" s="46">
        <v>-0.22568142361580124</v>
      </c>
      <c r="J19" s="46">
        <v>7.1495461691220008E-2</v>
      </c>
    </row>
    <row r="20" spans="1:10" ht="11.25" customHeight="1" x14ac:dyDescent="0.2">
      <c r="A20" s="55">
        <v>44805</v>
      </c>
      <c r="B20" s="45">
        <v>0</v>
      </c>
      <c r="C20" s="45">
        <v>0</v>
      </c>
      <c r="D20" s="45">
        <v>117319.21340000001</v>
      </c>
      <c r="E20" s="45">
        <v>148182.12048570628</v>
      </c>
      <c r="F20" s="45">
        <v>75628.747960000008</v>
      </c>
      <c r="G20" s="45">
        <v>58560.744454106578</v>
      </c>
      <c r="H20" s="46">
        <v>0.26306779760344257</v>
      </c>
      <c r="I20" s="46">
        <v>-0.22568142361580135</v>
      </c>
      <c r="J20" s="46">
        <v>7.1495461691219786E-2</v>
      </c>
    </row>
    <row r="21" spans="1:10" ht="11.25" customHeight="1" x14ac:dyDescent="0.2">
      <c r="A21" s="55">
        <v>44835</v>
      </c>
      <c r="B21" s="45">
        <v>0</v>
      </c>
      <c r="C21" s="45">
        <v>0</v>
      </c>
      <c r="D21" s="45">
        <v>112774.1349</v>
      </c>
      <c r="E21" s="45">
        <v>142441.37819477651</v>
      </c>
      <c r="F21" s="45">
        <v>72698.805059999984</v>
      </c>
      <c r="G21" s="45">
        <v>56292.035238891585</v>
      </c>
      <c r="H21" s="46">
        <v>0.26306779760344234</v>
      </c>
      <c r="I21" s="46">
        <v>-0.22568142361580112</v>
      </c>
      <c r="J21" s="46">
        <v>7.1495461691219786E-2</v>
      </c>
    </row>
    <row r="22" spans="1:10" ht="11.25" customHeight="1" x14ac:dyDescent="0.2">
      <c r="A22" s="51" t="s">
        <v>41</v>
      </c>
      <c r="B22" s="45">
        <v>0</v>
      </c>
      <c r="C22" s="45">
        <v>0</v>
      </c>
      <c r="D22" s="45">
        <v>49.454399999999993</v>
      </c>
      <c r="E22" s="45">
        <v>59.157914524801257</v>
      </c>
      <c r="F22" s="45">
        <v>41.678399999999996</v>
      </c>
      <c r="G22" s="45">
        <v>32.272916863346175</v>
      </c>
      <c r="H22" s="46">
        <v>0.19621134873340429</v>
      </c>
      <c r="I22" s="46">
        <v>-0.22566804715761213</v>
      </c>
      <c r="J22" s="46">
        <v>3.2702977209899675E-3</v>
      </c>
    </row>
    <row r="23" spans="1:10" ht="11.25" customHeight="1" x14ac:dyDescent="0.2">
      <c r="A23" s="52" t="s">
        <v>25</v>
      </c>
      <c r="B23" s="45">
        <v>0</v>
      </c>
      <c r="C23" s="45">
        <v>0</v>
      </c>
      <c r="D23" s="45">
        <v>49.454399999999993</v>
      </c>
      <c r="E23" s="45">
        <v>59.157914524801257</v>
      </c>
      <c r="F23" s="45">
        <v>41.678399999999996</v>
      </c>
      <c r="G23" s="45">
        <v>32.272916863346175</v>
      </c>
      <c r="H23" s="46">
        <v>0.19621134873340429</v>
      </c>
      <c r="I23" s="46">
        <v>-0.22566804715761213</v>
      </c>
      <c r="J23" s="46">
        <v>3.2702977209899675E-3</v>
      </c>
    </row>
    <row r="24" spans="1:10" ht="11.25" customHeight="1" x14ac:dyDescent="0.2">
      <c r="A24" s="53" t="s">
        <v>25</v>
      </c>
      <c r="B24" s="45">
        <v>0</v>
      </c>
      <c r="C24" s="45">
        <v>0</v>
      </c>
      <c r="D24" s="45">
        <v>49.454399999999993</v>
      </c>
      <c r="E24" s="45">
        <v>59.157914524801257</v>
      </c>
      <c r="F24" s="45">
        <v>41.678399999999996</v>
      </c>
      <c r="G24" s="45">
        <v>32.272916863346175</v>
      </c>
      <c r="H24" s="46">
        <v>0.19621134873340429</v>
      </c>
      <c r="I24" s="46">
        <v>-0.22566804715761213</v>
      </c>
      <c r="J24" s="46">
        <v>3.2702977209899675E-3</v>
      </c>
    </row>
    <row r="25" spans="1:10" ht="11.25" customHeight="1" x14ac:dyDescent="0.2">
      <c r="A25" s="54" t="s">
        <v>25</v>
      </c>
      <c r="B25" s="45">
        <v>0</v>
      </c>
      <c r="C25" s="45">
        <v>0</v>
      </c>
      <c r="D25" s="45">
        <v>49.454399999999993</v>
      </c>
      <c r="E25" s="45">
        <v>59.157914524801257</v>
      </c>
      <c r="F25" s="45">
        <v>41.678399999999996</v>
      </c>
      <c r="G25" s="45">
        <v>32.272916863346175</v>
      </c>
      <c r="H25" s="46">
        <v>0.19621134873340429</v>
      </c>
      <c r="I25" s="46">
        <v>-0.22566804715761213</v>
      </c>
      <c r="J25" s="46">
        <v>3.2702977209899675E-3</v>
      </c>
    </row>
    <row r="26" spans="1:10" ht="11.25" customHeight="1" x14ac:dyDescent="0.2">
      <c r="A26" s="55">
        <v>44562</v>
      </c>
      <c r="B26" s="45">
        <v>0</v>
      </c>
      <c r="C26" s="45">
        <v>0</v>
      </c>
      <c r="D26" s="45">
        <v>3.0909</v>
      </c>
      <c r="E26" s="45">
        <v>3.6973696578000776</v>
      </c>
      <c r="F26" s="45">
        <v>2.6048999999999998</v>
      </c>
      <c r="G26" s="45">
        <v>2.0170573039591364</v>
      </c>
      <c r="H26" s="46">
        <v>0.19621134873340385</v>
      </c>
      <c r="I26" s="46">
        <v>-0.22566804715761202</v>
      </c>
      <c r="J26" s="46">
        <v>3.2702977209897455E-3</v>
      </c>
    </row>
    <row r="27" spans="1:10" ht="11.25" customHeight="1" x14ac:dyDescent="0.2">
      <c r="A27" s="55">
        <v>44593</v>
      </c>
      <c r="B27" s="45">
        <v>0</v>
      </c>
      <c r="C27" s="45">
        <v>0</v>
      </c>
      <c r="D27" s="45">
        <v>3.0909</v>
      </c>
      <c r="E27" s="45">
        <v>3.6973696578000776</v>
      </c>
      <c r="F27" s="45">
        <v>2.6048999999999998</v>
      </c>
      <c r="G27" s="45">
        <v>2.0170573039591364</v>
      </c>
      <c r="H27" s="46">
        <v>0.19621134873340385</v>
      </c>
      <c r="I27" s="46">
        <v>-0.22566804715761202</v>
      </c>
      <c r="J27" s="46">
        <v>3.2702977209897455E-3</v>
      </c>
    </row>
    <row r="28" spans="1:10" ht="11.25" customHeight="1" x14ac:dyDescent="0.2">
      <c r="A28" s="55">
        <v>44621</v>
      </c>
      <c r="B28" s="45">
        <v>0</v>
      </c>
      <c r="C28" s="45">
        <v>0</v>
      </c>
      <c r="D28" s="45">
        <v>6.1818</v>
      </c>
      <c r="E28" s="45">
        <v>7.3947393156001553</v>
      </c>
      <c r="F28" s="45">
        <v>5.2097999999999995</v>
      </c>
      <c r="G28" s="45">
        <v>4.0341146079182728</v>
      </c>
      <c r="H28" s="46">
        <v>0.19621134873340385</v>
      </c>
      <c r="I28" s="46">
        <v>-0.22566804715761202</v>
      </c>
      <c r="J28" s="46">
        <v>3.2702977209897455E-3</v>
      </c>
    </row>
    <row r="29" spans="1:10" ht="11.25" customHeight="1" x14ac:dyDescent="0.2">
      <c r="A29" s="55">
        <v>44652</v>
      </c>
      <c r="B29" s="45">
        <v>0</v>
      </c>
      <c r="C29" s="45">
        <v>0</v>
      </c>
      <c r="D29" s="45">
        <v>3.0909</v>
      </c>
      <c r="E29" s="45">
        <v>3.6973696578000776</v>
      </c>
      <c r="F29" s="45">
        <v>2.6048999999999998</v>
      </c>
      <c r="G29" s="45">
        <v>2.0170573039591364</v>
      </c>
      <c r="H29" s="46">
        <v>0.19621134873340385</v>
      </c>
      <c r="I29" s="46">
        <v>-0.22566804715761202</v>
      </c>
      <c r="J29" s="46">
        <v>3.2702977209897455E-3</v>
      </c>
    </row>
    <row r="30" spans="1:10" ht="11.25" customHeight="1" x14ac:dyDescent="0.2">
      <c r="A30" s="55">
        <v>44682</v>
      </c>
      <c r="B30" s="45">
        <v>0</v>
      </c>
      <c r="C30" s="45">
        <v>0</v>
      </c>
      <c r="D30" s="45">
        <v>3.0909</v>
      </c>
      <c r="E30" s="45">
        <v>3.6973696578000776</v>
      </c>
      <c r="F30" s="45">
        <v>2.6048999999999998</v>
      </c>
      <c r="G30" s="45">
        <v>2.0170573039591364</v>
      </c>
      <c r="H30" s="46">
        <v>0.19621134873340385</v>
      </c>
      <c r="I30" s="46">
        <v>-0.22566804715761202</v>
      </c>
      <c r="J30" s="46">
        <v>3.2702977209897455E-3</v>
      </c>
    </row>
    <row r="31" spans="1:10" ht="11.25" customHeight="1" x14ac:dyDescent="0.2">
      <c r="A31" s="55">
        <v>44713</v>
      </c>
      <c r="B31" s="45">
        <v>0</v>
      </c>
      <c r="C31" s="45">
        <v>0</v>
      </c>
      <c r="D31" s="45">
        <v>9.2727000000000004</v>
      </c>
      <c r="E31" s="45">
        <v>11.092108973400233</v>
      </c>
      <c r="F31" s="45">
        <v>7.8146999999999993</v>
      </c>
      <c r="G31" s="45">
        <v>6.0511719118774092</v>
      </c>
      <c r="H31" s="46">
        <v>0.19621134873340362</v>
      </c>
      <c r="I31" s="46">
        <v>-0.22566804715761202</v>
      </c>
      <c r="J31" s="46">
        <v>3.2702977209897455E-3</v>
      </c>
    </row>
    <row r="32" spans="1:10" ht="11.25" customHeight="1" x14ac:dyDescent="0.2">
      <c r="A32" s="55">
        <v>44743</v>
      </c>
      <c r="B32" s="45">
        <v>0</v>
      </c>
      <c r="C32" s="45">
        <v>0</v>
      </c>
      <c r="D32" s="45">
        <v>12.3636</v>
      </c>
      <c r="E32" s="45">
        <v>14.789478631200311</v>
      </c>
      <c r="F32" s="45">
        <v>10.419599999999999</v>
      </c>
      <c r="G32" s="45">
        <v>8.0682292158365456</v>
      </c>
      <c r="H32" s="46">
        <v>0.19621134873340385</v>
      </c>
      <c r="I32" s="46">
        <v>-0.22566804715761202</v>
      </c>
      <c r="J32" s="46">
        <v>3.2702977209897455E-3</v>
      </c>
    </row>
    <row r="33" spans="1:10" ht="11.25" customHeight="1" x14ac:dyDescent="0.2">
      <c r="A33" s="55">
        <v>44774</v>
      </c>
      <c r="B33" s="45">
        <v>0</v>
      </c>
      <c r="C33" s="45">
        <v>0</v>
      </c>
      <c r="D33" s="45">
        <v>3.0909</v>
      </c>
      <c r="E33" s="45">
        <v>3.6973696578000776</v>
      </c>
      <c r="F33" s="45">
        <v>2.6048999999999998</v>
      </c>
      <c r="G33" s="45">
        <v>2.0170573039591364</v>
      </c>
      <c r="H33" s="46">
        <v>0.19621134873340385</v>
      </c>
      <c r="I33" s="46">
        <v>-0.22566804715761202</v>
      </c>
      <c r="J33" s="46">
        <v>3.2702977209897455E-3</v>
      </c>
    </row>
    <row r="34" spans="1:10" ht="11.25" customHeight="1" x14ac:dyDescent="0.2">
      <c r="A34" s="55">
        <v>44805</v>
      </c>
      <c r="B34" s="45">
        <v>0</v>
      </c>
      <c r="C34" s="45">
        <v>0</v>
      </c>
      <c r="D34" s="45">
        <v>3.0909</v>
      </c>
      <c r="E34" s="45">
        <v>3.6973696578000776</v>
      </c>
      <c r="F34" s="45">
        <v>2.6048999999999998</v>
      </c>
      <c r="G34" s="45">
        <v>2.0170573039591364</v>
      </c>
      <c r="H34" s="46">
        <v>0.19621134873340385</v>
      </c>
      <c r="I34" s="46">
        <v>-0.22566804715761202</v>
      </c>
      <c r="J34" s="46">
        <v>3.2702977209897455E-3</v>
      </c>
    </row>
    <row r="35" spans="1:10" ht="11.25" customHeight="1" x14ac:dyDescent="0.2">
      <c r="A35" s="55">
        <v>44835</v>
      </c>
      <c r="B35" s="45">
        <v>0</v>
      </c>
      <c r="C35" s="45">
        <v>0</v>
      </c>
      <c r="D35" s="45">
        <v>3.0909</v>
      </c>
      <c r="E35" s="45">
        <v>3.6973696578000776</v>
      </c>
      <c r="F35" s="45">
        <v>2.6048999999999998</v>
      </c>
      <c r="G35" s="45">
        <v>2.0170573039591364</v>
      </c>
      <c r="H35" s="46">
        <v>0.19621134873340385</v>
      </c>
      <c r="I35" s="46">
        <v>-0.22566804715761202</v>
      </c>
      <c r="J35" s="46">
        <v>3.2702977209897455E-3</v>
      </c>
    </row>
    <row r="36" spans="1:10" ht="11.25" customHeight="1" x14ac:dyDescent="0.2">
      <c r="A36" s="51" t="s">
        <v>42</v>
      </c>
      <c r="B36" s="45">
        <v>0</v>
      </c>
      <c r="C36" s="45">
        <v>0</v>
      </c>
      <c r="D36" s="45">
        <v>1291.5489300000002</v>
      </c>
      <c r="E36" s="45">
        <v>1545.0779604281124</v>
      </c>
      <c r="F36" s="45">
        <v>1088.5400500000001</v>
      </c>
      <c r="G36" s="45">
        <v>842.89943222018098</v>
      </c>
      <c r="H36" s="46">
        <v>0.19629843247836698</v>
      </c>
      <c r="I36" s="46">
        <v>-0.22566061559225048</v>
      </c>
      <c r="J36" s="46">
        <v>3.3143351843480939E-3</v>
      </c>
    </row>
    <row r="37" spans="1:10" ht="11.25" customHeight="1" x14ac:dyDescent="0.2">
      <c r="A37" s="52" t="s">
        <v>25</v>
      </c>
      <c r="B37" s="45">
        <v>0</v>
      </c>
      <c r="C37" s="45">
        <v>0</v>
      </c>
      <c r="D37" s="45">
        <v>1291.5489300000002</v>
      </c>
      <c r="E37" s="45">
        <v>1545.0779604281124</v>
      </c>
      <c r="F37" s="45">
        <v>1088.5400500000001</v>
      </c>
      <c r="G37" s="45">
        <v>842.89943222018098</v>
      </c>
      <c r="H37" s="46">
        <v>0.19629843247836698</v>
      </c>
      <c r="I37" s="46">
        <v>-0.22566061559225048</v>
      </c>
      <c r="J37" s="46">
        <v>3.3143351843480939E-3</v>
      </c>
    </row>
    <row r="38" spans="1:10" ht="11.25" customHeight="1" x14ac:dyDescent="0.2">
      <c r="A38" s="53" t="s">
        <v>25</v>
      </c>
      <c r="B38" s="45">
        <v>0</v>
      </c>
      <c r="C38" s="45">
        <v>0</v>
      </c>
      <c r="D38" s="45">
        <v>1291.5489300000002</v>
      </c>
      <c r="E38" s="45">
        <v>1545.0779604281124</v>
      </c>
      <c r="F38" s="45">
        <v>1088.5400500000001</v>
      </c>
      <c r="G38" s="45">
        <v>842.89943222018098</v>
      </c>
      <c r="H38" s="46">
        <v>0.19629843247836698</v>
      </c>
      <c r="I38" s="46">
        <v>-0.22566061559225048</v>
      </c>
      <c r="J38" s="46">
        <v>3.3143351843480939E-3</v>
      </c>
    </row>
    <row r="39" spans="1:10" ht="11.25" customHeight="1" x14ac:dyDescent="0.2">
      <c r="A39" s="54" t="s">
        <v>25</v>
      </c>
      <c r="B39" s="45">
        <v>0</v>
      </c>
      <c r="C39" s="45">
        <v>0</v>
      </c>
      <c r="D39" s="45">
        <v>1291.5489300000002</v>
      </c>
      <c r="E39" s="45">
        <v>1545.0779604281124</v>
      </c>
      <c r="F39" s="45">
        <v>1088.5400500000001</v>
      </c>
      <c r="G39" s="45">
        <v>842.89943222018098</v>
      </c>
      <c r="H39" s="46">
        <v>0.19629843247836698</v>
      </c>
      <c r="I39" s="46">
        <v>-0.22566061559225048</v>
      </c>
      <c r="J39" s="46">
        <v>3.3143351843480939E-3</v>
      </c>
    </row>
    <row r="40" spans="1:10" ht="11.25" customHeight="1" x14ac:dyDescent="0.2">
      <c r="A40" s="55">
        <v>44593</v>
      </c>
      <c r="B40" s="45">
        <v>0</v>
      </c>
      <c r="C40" s="45">
        <v>0</v>
      </c>
      <c r="D40" s="45">
        <v>15.541679999999999</v>
      </c>
      <c r="E40" s="45">
        <v>18.592487422080392</v>
      </c>
      <c r="F40" s="45">
        <v>13.098799999999999</v>
      </c>
      <c r="G40" s="45">
        <v>10.142916728480229</v>
      </c>
      <c r="H40" s="46">
        <v>0.19629843247836742</v>
      </c>
      <c r="I40" s="46">
        <v>-0.22566061559225048</v>
      </c>
      <c r="J40" s="46">
        <v>3.314335184348316E-3</v>
      </c>
    </row>
    <row r="41" spans="1:10" ht="11.25" customHeight="1" x14ac:dyDescent="0.2">
      <c r="A41" s="55">
        <v>44621</v>
      </c>
      <c r="B41" s="45">
        <v>0</v>
      </c>
      <c r="C41" s="45">
        <v>0</v>
      </c>
      <c r="D41" s="45">
        <v>42.386400000000002</v>
      </c>
      <c r="E41" s="45">
        <v>50.706783878401069</v>
      </c>
      <c r="F41" s="45">
        <v>35.723999999999997</v>
      </c>
      <c r="G41" s="45">
        <v>27.662500168582444</v>
      </c>
      <c r="H41" s="46">
        <v>0.1962984324783672</v>
      </c>
      <c r="I41" s="46">
        <v>-0.22566061559225037</v>
      </c>
      <c r="J41" s="46">
        <v>3.3143351843480939E-3</v>
      </c>
    </row>
    <row r="42" spans="1:10" ht="11.25" customHeight="1" x14ac:dyDescent="0.2">
      <c r="A42" s="55">
        <v>44652</v>
      </c>
      <c r="B42" s="45">
        <v>0</v>
      </c>
      <c r="C42" s="45">
        <v>0</v>
      </c>
      <c r="D42" s="45">
        <v>143.23071000000002</v>
      </c>
      <c r="E42" s="45">
        <v>171.34667385576361</v>
      </c>
      <c r="F42" s="45">
        <v>120.71735000000001</v>
      </c>
      <c r="G42" s="45">
        <v>93.476198486334852</v>
      </c>
      <c r="H42" s="46">
        <v>0.1962984324783672</v>
      </c>
      <c r="I42" s="46">
        <v>-0.22566061559225048</v>
      </c>
      <c r="J42" s="46">
        <v>3.3143351843478719E-3</v>
      </c>
    </row>
    <row r="43" spans="1:10" ht="11.25" customHeight="1" x14ac:dyDescent="0.2">
      <c r="A43" s="55">
        <v>44682</v>
      </c>
      <c r="B43" s="45">
        <v>0</v>
      </c>
      <c r="C43" s="45">
        <v>0</v>
      </c>
      <c r="D43" s="45">
        <v>171.84153000000001</v>
      </c>
      <c r="E43" s="45">
        <v>205.57375297368432</v>
      </c>
      <c r="F43" s="45">
        <v>144.83105</v>
      </c>
      <c r="G43" s="45">
        <v>112.14838610012799</v>
      </c>
      <c r="H43" s="46">
        <v>0.1962984324783672</v>
      </c>
      <c r="I43" s="46">
        <v>-0.22566061559225048</v>
      </c>
      <c r="J43" s="46">
        <v>3.3143351843478719E-3</v>
      </c>
    </row>
    <row r="44" spans="1:10" ht="11.25" customHeight="1" x14ac:dyDescent="0.2">
      <c r="A44" s="55">
        <v>44713</v>
      </c>
      <c r="B44" s="45">
        <v>0</v>
      </c>
      <c r="C44" s="45">
        <v>0</v>
      </c>
      <c r="D44" s="45">
        <v>183.49779000000001</v>
      </c>
      <c r="E44" s="45">
        <v>219.51811854024461</v>
      </c>
      <c r="F44" s="45">
        <v>154.65514999999999</v>
      </c>
      <c r="G44" s="45">
        <v>119.75557364648816</v>
      </c>
      <c r="H44" s="46">
        <v>0.1962984324783672</v>
      </c>
      <c r="I44" s="46">
        <v>-0.22566061559225048</v>
      </c>
      <c r="J44" s="46">
        <v>3.3143351843480939E-3</v>
      </c>
    </row>
    <row r="45" spans="1:10" ht="11.25" customHeight="1" x14ac:dyDescent="0.2">
      <c r="A45" s="55">
        <v>44743</v>
      </c>
      <c r="B45" s="45">
        <v>0</v>
      </c>
      <c r="C45" s="45">
        <v>0</v>
      </c>
      <c r="D45" s="45">
        <v>209.63607000000002</v>
      </c>
      <c r="E45" s="45">
        <v>250.7873019319253</v>
      </c>
      <c r="F45" s="45">
        <v>176.68495000000001</v>
      </c>
      <c r="G45" s="45">
        <v>136.81411541711401</v>
      </c>
      <c r="H45" s="46">
        <v>0.1962984324783672</v>
      </c>
      <c r="I45" s="46">
        <v>-0.22566061559225048</v>
      </c>
      <c r="J45" s="46">
        <v>3.3143351843480939E-3</v>
      </c>
    </row>
    <row r="46" spans="1:10" ht="11.25" customHeight="1" x14ac:dyDescent="0.2">
      <c r="A46" s="55">
        <v>44774</v>
      </c>
      <c r="B46" s="45">
        <v>0</v>
      </c>
      <c r="C46" s="45">
        <v>0</v>
      </c>
      <c r="D46" s="45">
        <v>187.55982000000003</v>
      </c>
      <c r="E46" s="45">
        <v>224.37751866192474</v>
      </c>
      <c r="F46" s="45">
        <v>158.0787</v>
      </c>
      <c r="G46" s="45">
        <v>122.40656324597732</v>
      </c>
      <c r="H46" s="46">
        <v>0.1962984324783672</v>
      </c>
      <c r="I46" s="46">
        <v>-0.22566061559225037</v>
      </c>
      <c r="J46" s="46">
        <v>3.314335184348316E-3</v>
      </c>
    </row>
    <row r="47" spans="1:10" ht="11.25" customHeight="1" x14ac:dyDescent="0.2">
      <c r="A47" s="55">
        <v>44805</v>
      </c>
      <c r="B47" s="45">
        <v>0</v>
      </c>
      <c r="C47" s="45">
        <v>0</v>
      </c>
      <c r="D47" s="45">
        <v>174.84390000000002</v>
      </c>
      <c r="E47" s="45">
        <v>209.1654834984044</v>
      </c>
      <c r="F47" s="45">
        <v>147.36150000000001</v>
      </c>
      <c r="G47" s="45">
        <v>114.10781319540258</v>
      </c>
      <c r="H47" s="46">
        <v>0.1962984324783672</v>
      </c>
      <c r="I47" s="46">
        <v>-0.22566061559225048</v>
      </c>
      <c r="J47" s="46">
        <v>3.3143351843478719E-3</v>
      </c>
    </row>
    <row r="48" spans="1:10" ht="11.25" customHeight="1" x14ac:dyDescent="0.2">
      <c r="A48" s="55">
        <v>44835</v>
      </c>
      <c r="B48" s="45">
        <v>0</v>
      </c>
      <c r="C48" s="45">
        <v>0</v>
      </c>
      <c r="D48" s="45">
        <v>163.01103000000003</v>
      </c>
      <c r="E48" s="45">
        <v>195.00983966568413</v>
      </c>
      <c r="F48" s="45">
        <v>137.38855000000001</v>
      </c>
      <c r="G48" s="45">
        <v>106.38536523167332</v>
      </c>
      <c r="H48" s="46">
        <v>0.1962984324783672</v>
      </c>
      <c r="I48" s="46">
        <v>-0.22566061559225048</v>
      </c>
      <c r="J48" s="46">
        <v>3.3143351843480939E-3</v>
      </c>
    </row>
    <row r="49" spans="1:10" ht="11.25" customHeight="1" x14ac:dyDescent="0.2">
      <c r="A49" s="51" t="s">
        <v>39</v>
      </c>
      <c r="B49" s="45">
        <v>0</v>
      </c>
      <c r="C49" s="45">
        <v>0</v>
      </c>
      <c r="D49" s="45">
        <v>20475.13696</v>
      </c>
      <c r="E49" s="45">
        <v>24493.91195246164</v>
      </c>
      <c r="F49" s="45">
        <v>17256.86464</v>
      </c>
      <c r="G49" s="45">
        <v>13362.370706433752</v>
      </c>
      <c r="H49" s="46">
        <v>0.19627585399368397</v>
      </c>
      <c r="I49" s="46">
        <v>-0.22567795568953641</v>
      </c>
      <c r="J49" s="46">
        <v>3.2937838870277236E-3</v>
      </c>
    </row>
    <row r="50" spans="1:10" ht="11.25" customHeight="1" x14ac:dyDescent="0.2">
      <c r="A50" s="52" t="s">
        <v>25</v>
      </c>
      <c r="B50" s="45">
        <v>0</v>
      </c>
      <c r="C50" s="45">
        <v>0</v>
      </c>
      <c r="D50" s="45">
        <v>20475.13696</v>
      </c>
      <c r="E50" s="45">
        <v>24493.91195246164</v>
      </c>
      <c r="F50" s="45">
        <v>17256.86464</v>
      </c>
      <c r="G50" s="45">
        <v>13362.370706433752</v>
      </c>
      <c r="H50" s="46">
        <v>0.19627585399368397</v>
      </c>
      <c r="I50" s="46">
        <v>-0.22567795568953641</v>
      </c>
      <c r="J50" s="46">
        <v>3.2937838870277236E-3</v>
      </c>
    </row>
    <row r="51" spans="1:10" ht="11.25" customHeight="1" x14ac:dyDescent="0.2">
      <c r="A51" s="53" t="s">
        <v>25</v>
      </c>
      <c r="B51" s="45">
        <v>0</v>
      </c>
      <c r="C51" s="45">
        <v>0</v>
      </c>
      <c r="D51" s="45">
        <v>20475.13696</v>
      </c>
      <c r="E51" s="45">
        <v>24493.91195246164</v>
      </c>
      <c r="F51" s="45">
        <v>17256.86464</v>
      </c>
      <c r="G51" s="45">
        <v>13362.370706433752</v>
      </c>
      <c r="H51" s="46">
        <v>0.19627585399368397</v>
      </c>
      <c r="I51" s="46">
        <v>-0.22567795568953641</v>
      </c>
      <c r="J51" s="46">
        <v>3.2937838870277236E-3</v>
      </c>
    </row>
    <row r="52" spans="1:10" ht="11.25" customHeight="1" x14ac:dyDescent="0.2">
      <c r="A52" s="54" t="s">
        <v>25</v>
      </c>
      <c r="B52" s="45">
        <v>0</v>
      </c>
      <c r="C52" s="45">
        <v>0</v>
      </c>
      <c r="D52" s="45">
        <v>20475.13696</v>
      </c>
      <c r="E52" s="45">
        <v>24493.91195246164</v>
      </c>
      <c r="F52" s="45">
        <v>17256.86464</v>
      </c>
      <c r="G52" s="45">
        <v>13362.370706433752</v>
      </c>
      <c r="H52" s="46">
        <v>0.19627585399368397</v>
      </c>
      <c r="I52" s="46">
        <v>-0.22567795568953641</v>
      </c>
      <c r="J52" s="46">
        <v>3.2937838870277236E-3</v>
      </c>
    </row>
    <row r="53" spans="1:10" ht="11.25" customHeight="1" x14ac:dyDescent="0.2">
      <c r="A53" s="55">
        <v>44531</v>
      </c>
      <c r="B53" s="45">
        <v>0</v>
      </c>
      <c r="C53" s="45">
        <v>0</v>
      </c>
      <c r="D53" s="45">
        <v>146.50076000000001</v>
      </c>
      <c r="E53" s="45">
        <v>175.25532177972372</v>
      </c>
      <c r="F53" s="45">
        <v>123.47384000000001</v>
      </c>
      <c r="G53" s="45">
        <v>95.608516207663087</v>
      </c>
      <c r="H53" s="46">
        <v>0.19627585399368375</v>
      </c>
      <c r="I53" s="46">
        <v>-0.22567795568953652</v>
      </c>
      <c r="J53" s="46">
        <v>3.2937838870277236E-3</v>
      </c>
    </row>
    <row r="54" spans="1:10" ht="11.25" customHeight="1" x14ac:dyDescent="0.2">
      <c r="A54" s="55">
        <v>44562</v>
      </c>
      <c r="B54" s="45">
        <v>0</v>
      </c>
      <c r="C54" s="45">
        <v>0</v>
      </c>
      <c r="D54" s="45">
        <v>131.1354</v>
      </c>
      <c r="E54" s="45">
        <v>156.87411262380331</v>
      </c>
      <c r="F54" s="45">
        <v>110.5236</v>
      </c>
      <c r="G54" s="45">
        <v>85.580859896551942</v>
      </c>
      <c r="H54" s="46">
        <v>0.19627585399368375</v>
      </c>
      <c r="I54" s="46">
        <v>-0.22567795568953652</v>
      </c>
      <c r="J54" s="46">
        <v>3.2937838870279457E-3</v>
      </c>
    </row>
    <row r="55" spans="1:10" ht="11.25" customHeight="1" x14ac:dyDescent="0.2">
      <c r="A55" s="55">
        <v>44593</v>
      </c>
      <c r="B55" s="45">
        <v>0</v>
      </c>
      <c r="C55" s="45">
        <v>0</v>
      </c>
      <c r="D55" s="45">
        <v>130.07572000000002</v>
      </c>
      <c r="E55" s="45">
        <v>155.60644302684329</v>
      </c>
      <c r="F55" s="45">
        <v>109.63048000000001</v>
      </c>
      <c r="G55" s="45">
        <v>84.889297392337383</v>
      </c>
      <c r="H55" s="46">
        <v>0.19627585399368352</v>
      </c>
      <c r="I55" s="46">
        <v>-0.22567795568953652</v>
      </c>
      <c r="J55" s="46">
        <v>3.2937838870277236E-3</v>
      </c>
    </row>
    <row r="56" spans="1:10" ht="11.25" customHeight="1" x14ac:dyDescent="0.2">
      <c r="A56" s="55">
        <v>44621</v>
      </c>
      <c r="B56" s="45">
        <v>0</v>
      </c>
      <c r="C56" s="45">
        <v>0</v>
      </c>
      <c r="D56" s="45">
        <v>846.68432000000007</v>
      </c>
      <c r="E56" s="45">
        <v>1012.8680079710615</v>
      </c>
      <c r="F56" s="45">
        <v>713.60288000000003</v>
      </c>
      <c r="G56" s="45">
        <v>552.55844086743434</v>
      </c>
      <c r="H56" s="46">
        <v>0.19627585399368375</v>
      </c>
      <c r="I56" s="46">
        <v>-0.22567795568953652</v>
      </c>
      <c r="J56" s="46">
        <v>3.2937838870277236E-3</v>
      </c>
    </row>
    <row r="57" spans="1:10" ht="11.25" customHeight="1" x14ac:dyDescent="0.2">
      <c r="A57" s="55">
        <v>44652</v>
      </c>
      <c r="B57" s="45">
        <v>0</v>
      </c>
      <c r="C57" s="45">
        <v>0</v>
      </c>
      <c r="D57" s="45">
        <v>2665.3601200000003</v>
      </c>
      <c r="E57" s="45">
        <v>3188.5059537537077</v>
      </c>
      <c r="F57" s="45">
        <v>2246.4200799999999</v>
      </c>
      <c r="G57" s="45">
        <v>1739.452588725675</v>
      </c>
      <c r="H57" s="46">
        <v>0.19627585399368375</v>
      </c>
      <c r="I57" s="46">
        <v>-0.22567795568953641</v>
      </c>
      <c r="J57" s="46">
        <v>3.2937838870277236E-3</v>
      </c>
    </row>
    <row r="58" spans="1:10" ht="11.25" customHeight="1" x14ac:dyDescent="0.2">
      <c r="A58" s="55">
        <v>44682</v>
      </c>
      <c r="B58" s="45">
        <v>0</v>
      </c>
      <c r="C58" s="45">
        <v>0</v>
      </c>
      <c r="D58" s="45">
        <v>3098.50432</v>
      </c>
      <c r="E58" s="45">
        <v>3706.6659015111186</v>
      </c>
      <c r="F58" s="45">
        <v>2611.48288</v>
      </c>
      <c r="G58" s="45">
        <v>2022.1287623233768</v>
      </c>
      <c r="H58" s="46">
        <v>0.19627585399368375</v>
      </c>
      <c r="I58" s="46">
        <v>-0.22567795568953652</v>
      </c>
      <c r="J58" s="46">
        <v>3.2937838870279457E-3</v>
      </c>
    </row>
    <row r="59" spans="1:10" ht="11.25" customHeight="1" x14ac:dyDescent="0.2">
      <c r="A59" s="55">
        <v>44713</v>
      </c>
      <c r="B59" s="45">
        <v>0</v>
      </c>
      <c r="C59" s="45">
        <v>0</v>
      </c>
      <c r="D59" s="45">
        <v>2688.9380000000001</v>
      </c>
      <c r="E59" s="45">
        <v>3216.7116022860682</v>
      </c>
      <c r="F59" s="45">
        <v>2266.2919999999999</v>
      </c>
      <c r="G59" s="45">
        <v>1754.839854444449</v>
      </c>
      <c r="H59" s="46">
        <v>0.19627585399368375</v>
      </c>
      <c r="I59" s="46">
        <v>-0.22567795568953641</v>
      </c>
      <c r="J59" s="46">
        <v>3.2937838870279457E-3</v>
      </c>
    </row>
    <row r="60" spans="1:10" ht="11.25" customHeight="1" x14ac:dyDescent="0.2">
      <c r="A60" s="55">
        <v>44743</v>
      </c>
      <c r="B60" s="45">
        <v>0</v>
      </c>
      <c r="C60" s="45">
        <v>0</v>
      </c>
      <c r="D60" s="45">
        <v>2664.5653600000001</v>
      </c>
      <c r="E60" s="45">
        <v>3187.5552015559874</v>
      </c>
      <c r="F60" s="45">
        <v>2245.7502399999998</v>
      </c>
      <c r="G60" s="45">
        <v>1738.933916847514</v>
      </c>
      <c r="H60" s="46">
        <v>0.19627585399368375</v>
      </c>
      <c r="I60" s="46">
        <v>-0.22567795568953652</v>
      </c>
      <c r="J60" s="46">
        <v>3.2937838870279457E-3</v>
      </c>
    </row>
    <row r="61" spans="1:10" ht="11.25" customHeight="1" x14ac:dyDescent="0.2">
      <c r="A61" s="55">
        <v>44774</v>
      </c>
      <c r="B61" s="45">
        <v>0</v>
      </c>
      <c r="C61" s="45">
        <v>0</v>
      </c>
      <c r="D61" s="45">
        <v>2604.1636000000003</v>
      </c>
      <c r="E61" s="45">
        <v>3115.2980345292663</v>
      </c>
      <c r="F61" s="45">
        <v>2194.8424</v>
      </c>
      <c r="G61" s="45">
        <v>1699.514854107284</v>
      </c>
      <c r="H61" s="46">
        <v>0.19627585399368375</v>
      </c>
      <c r="I61" s="46">
        <v>-0.22567795568953652</v>
      </c>
      <c r="J61" s="46">
        <v>3.2937838870279457E-3</v>
      </c>
    </row>
    <row r="62" spans="1:10" ht="11.25" customHeight="1" x14ac:dyDescent="0.2">
      <c r="A62" s="55">
        <v>44805</v>
      </c>
      <c r="B62" s="45">
        <v>0</v>
      </c>
      <c r="C62" s="45">
        <v>0</v>
      </c>
      <c r="D62" s="45">
        <v>2970.8128800000004</v>
      </c>
      <c r="E62" s="45">
        <v>3553.9117150774355</v>
      </c>
      <c r="F62" s="45">
        <v>2503.8619200000003</v>
      </c>
      <c r="G62" s="45">
        <v>1938.7954805655222</v>
      </c>
      <c r="H62" s="46">
        <v>0.19627585399368375</v>
      </c>
      <c r="I62" s="46">
        <v>-0.22567795568953664</v>
      </c>
      <c r="J62" s="46">
        <v>3.2937838870277236E-3</v>
      </c>
    </row>
    <row r="63" spans="1:10" ht="11.25" customHeight="1" x14ac:dyDescent="0.2">
      <c r="A63" s="55">
        <v>44835</v>
      </c>
      <c r="B63" s="45">
        <v>0</v>
      </c>
      <c r="C63" s="45">
        <v>0</v>
      </c>
      <c r="D63" s="45">
        <v>2528.3964800000003</v>
      </c>
      <c r="E63" s="45">
        <v>3024.6596583466244</v>
      </c>
      <c r="F63" s="45">
        <v>2130.98432</v>
      </c>
      <c r="G63" s="45">
        <v>1650.068135055943</v>
      </c>
      <c r="H63" s="46">
        <v>0.19627585399368375</v>
      </c>
      <c r="I63" s="46">
        <v>-0.22567795568953652</v>
      </c>
      <c r="J63" s="46">
        <v>3.2937838870279457E-3</v>
      </c>
    </row>
    <row r="64" spans="1:10" ht="11.25" customHeight="1" x14ac:dyDescent="0.2">
      <c r="A64" s="51" t="s">
        <v>40</v>
      </c>
      <c r="B64" s="45">
        <v>0</v>
      </c>
      <c r="C64" s="45">
        <v>0</v>
      </c>
      <c r="D64" s="45">
        <v>23993.577959999995</v>
      </c>
      <c r="E64" s="45">
        <v>28702.504588280208</v>
      </c>
      <c r="F64" s="45">
        <v>20222.063990000002</v>
      </c>
      <c r="G64" s="45">
        <v>15658.319800286969</v>
      </c>
      <c r="H64" s="46">
        <v>0.19625779181956626</v>
      </c>
      <c r="I64" s="46">
        <v>-0.22568142361580146</v>
      </c>
      <c r="J64" s="46">
        <v>3.2835085540847686E-3</v>
      </c>
    </row>
    <row r="65" spans="1:10" ht="11.25" customHeight="1" x14ac:dyDescent="0.2">
      <c r="A65" s="52" t="s">
        <v>25</v>
      </c>
      <c r="B65" s="45">
        <v>0</v>
      </c>
      <c r="C65" s="45">
        <v>0</v>
      </c>
      <c r="D65" s="45">
        <v>23993.577959999995</v>
      </c>
      <c r="E65" s="45">
        <v>28702.504588280208</v>
      </c>
      <c r="F65" s="45">
        <v>20222.063990000002</v>
      </c>
      <c r="G65" s="45">
        <v>15658.319800286969</v>
      </c>
      <c r="H65" s="46">
        <v>0.19625779181956626</v>
      </c>
      <c r="I65" s="46">
        <v>-0.22568142361580146</v>
      </c>
      <c r="J65" s="46">
        <v>3.2835085540847686E-3</v>
      </c>
    </row>
    <row r="66" spans="1:10" ht="11.25" customHeight="1" x14ac:dyDescent="0.2">
      <c r="A66" s="53" t="s">
        <v>25</v>
      </c>
      <c r="B66" s="45">
        <v>0</v>
      </c>
      <c r="C66" s="45">
        <v>0</v>
      </c>
      <c r="D66" s="45">
        <v>23993.577959999995</v>
      </c>
      <c r="E66" s="45">
        <v>28702.504588280208</v>
      </c>
      <c r="F66" s="45">
        <v>20222.063990000002</v>
      </c>
      <c r="G66" s="45">
        <v>15658.319800286969</v>
      </c>
      <c r="H66" s="46">
        <v>0.19625779181956626</v>
      </c>
      <c r="I66" s="46">
        <v>-0.22568142361580146</v>
      </c>
      <c r="J66" s="46">
        <v>3.2835085540847686E-3</v>
      </c>
    </row>
    <row r="67" spans="1:10" ht="11.25" customHeight="1" x14ac:dyDescent="0.2">
      <c r="A67" s="54" t="s">
        <v>25</v>
      </c>
      <c r="B67" s="45">
        <v>0</v>
      </c>
      <c r="C67" s="45">
        <v>0</v>
      </c>
      <c r="D67" s="45">
        <v>23993.577959999995</v>
      </c>
      <c r="E67" s="45">
        <v>28702.504588280208</v>
      </c>
      <c r="F67" s="45">
        <v>20222.063990000002</v>
      </c>
      <c r="G67" s="45">
        <v>15658.319800286969</v>
      </c>
      <c r="H67" s="46">
        <v>0.19625779181956626</v>
      </c>
      <c r="I67" s="46">
        <v>-0.22568142361580146</v>
      </c>
      <c r="J67" s="46">
        <v>3.2835085540847686E-3</v>
      </c>
    </row>
    <row r="68" spans="1:10" ht="11.25" customHeight="1" x14ac:dyDescent="0.2">
      <c r="A68" s="55">
        <v>44531</v>
      </c>
      <c r="B68" s="45">
        <v>0</v>
      </c>
      <c r="C68" s="45">
        <v>0</v>
      </c>
      <c r="D68" s="45">
        <v>412.39836000000003</v>
      </c>
      <c r="E68" s="45">
        <v>493.33475148361043</v>
      </c>
      <c r="F68" s="45">
        <v>347.57409000000001</v>
      </c>
      <c r="G68" s="45">
        <v>269.13307455683338</v>
      </c>
      <c r="H68" s="46">
        <v>0.19625779181956582</v>
      </c>
      <c r="I68" s="46">
        <v>-0.22568142361580124</v>
      </c>
      <c r="J68" s="46">
        <v>3.2835085540847686E-3</v>
      </c>
    </row>
    <row r="69" spans="1:10" ht="11.25" customHeight="1" x14ac:dyDescent="0.2">
      <c r="A69" s="55">
        <v>44562</v>
      </c>
      <c r="B69" s="45">
        <v>0</v>
      </c>
      <c r="C69" s="45">
        <v>0</v>
      </c>
      <c r="D69" s="45">
        <v>331.15500000000003</v>
      </c>
      <c r="E69" s="45">
        <v>396.14674905000834</v>
      </c>
      <c r="F69" s="45">
        <v>279.10124999999999</v>
      </c>
      <c r="G69" s="45">
        <v>216.11328256705036</v>
      </c>
      <c r="H69" s="46">
        <v>0.19625779181956582</v>
      </c>
      <c r="I69" s="46">
        <v>-0.22568142361580124</v>
      </c>
      <c r="J69" s="46">
        <v>3.2835085540847686E-3</v>
      </c>
    </row>
    <row r="70" spans="1:10" ht="11.25" customHeight="1" x14ac:dyDescent="0.2">
      <c r="A70" s="55">
        <v>44593</v>
      </c>
      <c r="B70" s="45">
        <v>0</v>
      </c>
      <c r="C70" s="45">
        <v>0</v>
      </c>
      <c r="D70" s="45">
        <v>327.62268</v>
      </c>
      <c r="E70" s="45">
        <v>391.92118372680824</v>
      </c>
      <c r="F70" s="45">
        <v>276.12416999999999</v>
      </c>
      <c r="G70" s="45">
        <v>213.80807421966847</v>
      </c>
      <c r="H70" s="46">
        <v>0.19625779181956582</v>
      </c>
      <c r="I70" s="46">
        <v>-0.22568142361580124</v>
      </c>
      <c r="J70" s="46">
        <v>3.2835085540847686E-3</v>
      </c>
    </row>
    <row r="71" spans="1:10" ht="11.25" customHeight="1" x14ac:dyDescent="0.2">
      <c r="A71" s="55">
        <v>44621</v>
      </c>
      <c r="B71" s="45">
        <v>0</v>
      </c>
      <c r="C71" s="45">
        <v>0</v>
      </c>
      <c r="D71" s="45">
        <v>1455.6102000000001</v>
      </c>
      <c r="E71" s="45">
        <v>1741.2850436020369</v>
      </c>
      <c r="F71" s="45">
        <v>1226.8050500000002</v>
      </c>
      <c r="G71" s="45">
        <v>949.9379398169458</v>
      </c>
      <c r="H71" s="46">
        <v>0.19625779181956604</v>
      </c>
      <c r="I71" s="46">
        <v>-0.22568142361580135</v>
      </c>
      <c r="J71" s="46">
        <v>3.2835085540849906E-3</v>
      </c>
    </row>
    <row r="72" spans="1:10" ht="11.25" customHeight="1" x14ac:dyDescent="0.2">
      <c r="A72" s="55">
        <v>44652</v>
      </c>
      <c r="B72" s="45">
        <v>0</v>
      </c>
      <c r="C72" s="45">
        <v>0</v>
      </c>
      <c r="D72" s="45">
        <v>2165.6065200000003</v>
      </c>
      <c r="E72" s="45">
        <v>2590.6236735652546</v>
      </c>
      <c r="F72" s="45">
        <v>1825.19813</v>
      </c>
      <c r="G72" s="45">
        <v>1413.2848176407017</v>
      </c>
      <c r="H72" s="46">
        <v>0.19625779181956582</v>
      </c>
      <c r="I72" s="46">
        <v>-0.22568142361580124</v>
      </c>
      <c r="J72" s="46">
        <v>3.2835085540847686E-3</v>
      </c>
    </row>
    <row r="73" spans="1:10" ht="11.25" customHeight="1" x14ac:dyDescent="0.2">
      <c r="A73" s="55">
        <v>44682</v>
      </c>
      <c r="B73" s="45">
        <v>0</v>
      </c>
      <c r="C73" s="45">
        <v>0</v>
      </c>
      <c r="D73" s="45">
        <v>1925.7031200000001</v>
      </c>
      <c r="E73" s="45">
        <v>2303.6373620312484</v>
      </c>
      <c r="F73" s="45">
        <v>1623.00478</v>
      </c>
      <c r="G73" s="45">
        <v>1256.7227507143498</v>
      </c>
      <c r="H73" s="46">
        <v>0.19625779181956582</v>
      </c>
      <c r="I73" s="46">
        <v>-0.22568142361580124</v>
      </c>
      <c r="J73" s="46">
        <v>3.2835085540847686E-3</v>
      </c>
    </row>
    <row r="74" spans="1:10" ht="11.25" customHeight="1" x14ac:dyDescent="0.2">
      <c r="A74" s="55">
        <v>44713</v>
      </c>
      <c r="B74" s="45">
        <v>0</v>
      </c>
      <c r="C74" s="45">
        <v>0</v>
      </c>
      <c r="D74" s="45">
        <v>3060.7552799999999</v>
      </c>
      <c r="E74" s="45">
        <v>3661.4523525528771</v>
      </c>
      <c r="F74" s="45">
        <v>2579.6398199999999</v>
      </c>
      <c r="G74" s="45">
        <v>1997.4630330063908</v>
      </c>
      <c r="H74" s="46">
        <v>0.19625779181956604</v>
      </c>
      <c r="I74" s="46">
        <v>-0.22568142361580124</v>
      </c>
      <c r="J74" s="46">
        <v>3.2835085540847686E-3</v>
      </c>
    </row>
    <row r="75" spans="1:10" ht="11.25" customHeight="1" x14ac:dyDescent="0.2">
      <c r="A75" s="55">
        <v>44743</v>
      </c>
      <c r="B75" s="45">
        <v>0</v>
      </c>
      <c r="C75" s="45">
        <v>0</v>
      </c>
      <c r="D75" s="45">
        <v>3554.3969999999999</v>
      </c>
      <c r="E75" s="45">
        <v>4251.9751064700895</v>
      </c>
      <c r="F75" s="45">
        <v>2995.6867499999998</v>
      </c>
      <c r="G75" s="45">
        <v>2319.6158995530068</v>
      </c>
      <c r="H75" s="46">
        <v>0.19625779181956582</v>
      </c>
      <c r="I75" s="46">
        <v>-0.22568142361580135</v>
      </c>
      <c r="J75" s="46">
        <v>3.2835085540847686E-3</v>
      </c>
    </row>
    <row r="76" spans="1:10" ht="11.25" customHeight="1" x14ac:dyDescent="0.2">
      <c r="A76" s="55">
        <v>44774</v>
      </c>
      <c r="B76" s="45">
        <v>0</v>
      </c>
      <c r="C76" s="45">
        <v>0</v>
      </c>
      <c r="D76" s="45">
        <v>3609.73668</v>
      </c>
      <c r="E76" s="45">
        <v>4318.1756298668906</v>
      </c>
      <c r="F76" s="45">
        <v>3042.3276700000001</v>
      </c>
      <c r="G76" s="45">
        <v>2355.7308303286563</v>
      </c>
      <c r="H76" s="46">
        <v>0.19625779181956582</v>
      </c>
      <c r="I76" s="46">
        <v>-0.22568142361580135</v>
      </c>
      <c r="J76" s="46">
        <v>3.2835085540845466E-3</v>
      </c>
    </row>
    <row r="77" spans="1:10" ht="11.25" customHeight="1" x14ac:dyDescent="0.2">
      <c r="A77" s="55">
        <v>44805</v>
      </c>
      <c r="B77" s="45">
        <v>0</v>
      </c>
      <c r="C77" s="45">
        <v>0</v>
      </c>
      <c r="D77" s="45">
        <v>3197.6326800000002</v>
      </c>
      <c r="E77" s="45">
        <v>3825.1930088268805</v>
      </c>
      <c r="F77" s="45">
        <v>2695.0016700000001</v>
      </c>
      <c r="G77" s="45">
        <v>2086.7898564674383</v>
      </c>
      <c r="H77" s="46">
        <v>0.19625779181956582</v>
      </c>
      <c r="I77" s="46">
        <v>-0.22568142361580124</v>
      </c>
      <c r="J77" s="46">
        <v>3.2835085540847686E-3</v>
      </c>
    </row>
    <row r="78" spans="1:10" ht="11.25" customHeight="1" x14ac:dyDescent="0.2">
      <c r="A78" s="55">
        <v>44835</v>
      </c>
      <c r="B78" s="45">
        <v>0</v>
      </c>
      <c r="C78" s="45">
        <v>0</v>
      </c>
      <c r="D78" s="45">
        <v>3952.9604400000003</v>
      </c>
      <c r="E78" s="45">
        <v>4728.7597271044997</v>
      </c>
      <c r="F78" s="45">
        <v>3331.60061</v>
      </c>
      <c r="G78" s="45">
        <v>2579.7202414159283</v>
      </c>
      <c r="H78" s="46">
        <v>0.19625779181956582</v>
      </c>
      <c r="I78" s="46">
        <v>-0.22568142361580124</v>
      </c>
      <c r="J78" s="46">
        <v>3.2835085540847686E-3</v>
      </c>
    </row>
    <row r="79" spans="1:10" ht="11.25" customHeight="1" x14ac:dyDescent="0.2">
      <c r="A79" s="48" t="s">
        <v>31</v>
      </c>
      <c r="B79" s="45">
        <v>0</v>
      </c>
      <c r="C79" s="45">
        <v>0</v>
      </c>
      <c r="D79" s="45">
        <v>2093172.62589</v>
      </c>
      <c r="E79" s="45">
        <v>2824062.6432934273</v>
      </c>
      <c r="F79" s="45">
        <v>1349341.38744</v>
      </c>
      <c r="G79" s="45">
        <v>1116053.7467963125</v>
      </c>
      <c r="H79" s="46">
        <v>0.34917808897517832</v>
      </c>
      <c r="I79" s="46">
        <v>-0.17289000605420246</v>
      </c>
      <c r="J79" s="46">
        <v>0.14454621675697976</v>
      </c>
    </row>
    <row r="80" spans="1:10" ht="11.25" customHeight="1" x14ac:dyDescent="0.2">
      <c r="A80" s="49" t="s">
        <v>23</v>
      </c>
      <c r="B80" s="45">
        <v>0</v>
      </c>
      <c r="C80" s="45">
        <v>0</v>
      </c>
      <c r="D80" s="45">
        <v>2093172.62589</v>
      </c>
      <c r="E80" s="45">
        <v>2824062.6432934273</v>
      </c>
      <c r="F80" s="45">
        <v>1349341.38744</v>
      </c>
      <c r="G80" s="45">
        <v>1116053.7467963125</v>
      </c>
      <c r="H80" s="46">
        <v>0.34917808897517832</v>
      </c>
      <c r="I80" s="46">
        <v>-0.17289000605420246</v>
      </c>
      <c r="J80" s="46">
        <v>0.14454621675697976</v>
      </c>
    </row>
    <row r="81" spans="1:10" ht="11.25" customHeight="1" x14ac:dyDescent="0.2">
      <c r="A81" s="50" t="s">
        <v>32</v>
      </c>
      <c r="B81" s="45">
        <v>0</v>
      </c>
      <c r="C81" s="45">
        <v>0</v>
      </c>
      <c r="D81" s="45">
        <v>2093172.62589</v>
      </c>
      <c r="E81" s="45">
        <v>2824062.6432934273</v>
      </c>
      <c r="F81" s="45">
        <v>1349341.38744</v>
      </c>
      <c r="G81" s="45">
        <v>1116053.7467963125</v>
      </c>
      <c r="H81" s="46">
        <v>0.34917808897517832</v>
      </c>
      <c r="I81" s="46">
        <v>-0.17289000605420246</v>
      </c>
      <c r="J81" s="46">
        <v>0.14454621675697976</v>
      </c>
    </row>
    <row r="82" spans="1:10" ht="11.25" customHeight="1" x14ac:dyDescent="0.2">
      <c r="A82" s="51" t="s">
        <v>25</v>
      </c>
      <c r="B82" s="45">
        <v>0</v>
      </c>
      <c r="C82" s="45">
        <v>0</v>
      </c>
      <c r="D82" s="45">
        <v>2093172.62589</v>
      </c>
      <c r="E82" s="45">
        <v>2824062.6432934273</v>
      </c>
      <c r="F82" s="45">
        <v>1349341.38744</v>
      </c>
      <c r="G82" s="45">
        <v>1116053.7467963125</v>
      </c>
      <c r="H82" s="46">
        <v>0.34917808897517832</v>
      </c>
      <c r="I82" s="46">
        <v>-0.17289000605420246</v>
      </c>
      <c r="J82" s="46">
        <v>0.14454621675697976</v>
      </c>
    </row>
    <row r="83" spans="1:10" ht="11.25" customHeight="1" x14ac:dyDescent="0.2">
      <c r="A83" s="52" t="s">
        <v>25</v>
      </c>
      <c r="B83" s="45">
        <v>0</v>
      </c>
      <c r="C83" s="45">
        <v>0</v>
      </c>
      <c r="D83" s="45">
        <v>2093172.62589</v>
      </c>
      <c r="E83" s="45">
        <v>2824062.6432934273</v>
      </c>
      <c r="F83" s="45">
        <v>1349341.38744</v>
      </c>
      <c r="G83" s="45">
        <v>1116053.7467963125</v>
      </c>
      <c r="H83" s="46">
        <v>0.34917808897517832</v>
      </c>
      <c r="I83" s="46">
        <v>-0.17289000605420246</v>
      </c>
      <c r="J83" s="46">
        <v>0.14454621675697976</v>
      </c>
    </row>
    <row r="84" spans="1:10" ht="11.25" customHeight="1" x14ac:dyDescent="0.2">
      <c r="A84" s="53" t="s">
        <v>25</v>
      </c>
      <c r="B84" s="45">
        <v>0</v>
      </c>
      <c r="C84" s="45">
        <v>0</v>
      </c>
      <c r="D84" s="45">
        <v>2093172.62589</v>
      </c>
      <c r="E84" s="45">
        <v>2824062.6432934273</v>
      </c>
      <c r="F84" s="45">
        <v>1349341.38744</v>
      </c>
      <c r="G84" s="45">
        <v>1116053.7467963125</v>
      </c>
      <c r="H84" s="46">
        <v>0.34917808897517832</v>
      </c>
      <c r="I84" s="46">
        <v>-0.17289000605420246</v>
      </c>
      <c r="J84" s="46">
        <v>0.14454621675697976</v>
      </c>
    </row>
    <row r="85" spans="1:10" ht="11.25" customHeight="1" x14ac:dyDescent="0.2">
      <c r="A85" s="54" t="s">
        <v>25</v>
      </c>
      <c r="B85" s="45">
        <v>0</v>
      </c>
      <c r="C85" s="45">
        <v>0</v>
      </c>
      <c r="D85" s="45">
        <v>2093172.62589</v>
      </c>
      <c r="E85" s="45">
        <v>2824062.6432934273</v>
      </c>
      <c r="F85" s="45">
        <v>1349341.38744</v>
      </c>
      <c r="G85" s="45">
        <v>1116053.7467963125</v>
      </c>
      <c r="H85" s="46">
        <v>0.34917808897517832</v>
      </c>
      <c r="I85" s="46">
        <v>-0.17289000605420246</v>
      </c>
      <c r="J85" s="46">
        <v>0.14454621675697976</v>
      </c>
    </row>
    <row r="86" spans="1:10" ht="11.25" customHeight="1" x14ac:dyDescent="0.2">
      <c r="A86" s="55">
        <v>44501</v>
      </c>
      <c r="B86" s="45">
        <v>0</v>
      </c>
      <c r="C86" s="45">
        <v>0</v>
      </c>
      <c r="D86" s="45">
        <v>171668.09763000003</v>
      </c>
      <c r="E86" s="45">
        <v>231610.83589844781</v>
      </c>
      <c r="F86" s="45">
        <v>110664.00648000001</v>
      </c>
      <c r="G86" s="45">
        <v>91531.305729690503</v>
      </c>
      <c r="H86" s="46">
        <v>0.34917808897517855</v>
      </c>
      <c r="I86" s="46">
        <v>-0.17289000605420246</v>
      </c>
      <c r="J86" s="46">
        <v>0.14454621675697976</v>
      </c>
    </row>
    <row r="87" spans="1:10" ht="11.25" customHeight="1" x14ac:dyDescent="0.2">
      <c r="A87" s="55">
        <v>44531</v>
      </c>
      <c r="B87" s="45">
        <v>0</v>
      </c>
      <c r="C87" s="45">
        <v>0</v>
      </c>
      <c r="D87" s="45">
        <v>166194.17442</v>
      </c>
      <c r="E87" s="45">
        <v>224225.53864278315</v>
      </c>
      <c r="F87" s="45">
        <v>107135.30031999999</v>
      </c>
      <c r="G87" s="45">
        <v>88612.677599056406</v>
      </c>
      <c r="H87" s="46">
        <v>0.34917808897517899</v>
      </c>
      <c r="I87" s="46">
        <v>-0.17289000605420235</v>
      </c>
      <c r="J87" s="46">
        <v>0.14454621675698021</v>
      </c>
    </row>
    <row r="88" spans="1:10" ht="11.25" customHeight="1" x14ac:dyDescent="0.2">
      <c r="A88" s="55">
        <v>44562</v>
      </c>
      <c r="B88" s="45">
        <v>0</v>
      </c>
      <c r="C88" s="45">
        <v>0</v>
      </c>
      <c r="D88" s="45">
        <v>190892.36151000002</v>
      </c>
      <c r="E88" s="45">
        <v>257547.79150202082</v>
      </c>
      <c r="F88" s="45">
        <v>123056.72296</v>
      </c>
      <c r="G88" s="45">
        <v>101781.4453824353</v>
      </c>
      <c r="H88" s="46">
        <v>0.34917808897517899</v>
      </c>
      <c r="I88" s="46">
        <v>-0.17289000605420235</v>
      </c>
      <c r="J88" s="46">
        <v>0.14454621675698021</v>
      </c>
    </row>
    <row r="89" spans="1:10" ht="11.25" customHeight="1" x14ac:dyDescent="0.2">
      <c r="A89" s="55">
        <v>44593</v>
      </c>
      <c r="B89" s="45">
        <v>0</v>
      </c>
      <c r="C89" s="45">
        <v>0</v>
      </c>
      <c r="D89" s="45">
        <v>193344.33231</v>
      </c>
      <c r="E89" s="45">
        <v>260855.93678018771</v>
      </c>
      <c r="F89" s="45">
        <v>124637.35975999999</v>
      </c>
      <c r="G89" s="45">
        <v>103088.8058765138</v>
      </c>
      <c r="H89" s="46">
        <v>0.34917808897517877</v>
      </c>
      <c r="I89" s="46">
        <v>-0.17289000605420235</v>
      </c>
      <c r="J89" s="46">
        <v>0.14454621675697998</v>
      </c>
    </row>
    <row r="90" spans="1:10" ht="11.25" customHeight="1" x14ac:dyDescent="0.2">
      <c r="A90" s="55">
        <v>44621</v>
      </c>
      <c r="B90" s="45">
        <v>0</v>
      </c>
      <c r="C90" s="45">
        <v>0</v>
      </c>
      <c r="D90" s="45">
        <v>189560.71106999999</v>
      </c>
      <c r="E90" s="45">
        <v>255751.15790619864</v>
      </c>
      <c r="F90" s="45">
        <v>122198.28872000001</v>
      </c>
      <c r="G90" s="45">
        <v>101071.42584338602</v>
      </c>
      <c r="H90" s="46">
        <v>0.34917808897517899</v>
      </c>
      <c r="I90" s="46">
        <v>-0.17289000605420246</v>
      </c>
      <c r="J90" s="46">
        <v>0.14454621675697998</v>
      </c>
    </row>
    <row r="91" spans="1:10" ht="11.25" customHeight="1" x14ac:dyDescent="0.2">
      <c r="A91" s="55">
        <v>44652</v>
      </c>
      <c r="B91" s="45">
        <v>0</v>
      </c>
      <c r="C91" s="45">
        <v>0</v>
      </c>
      <c r="D91" s="45">
        <v>169434.56898000004</v>
      </c>
      <c r="E91" s="45">
        <v>228597.40798276951</v>
      </c>
      <c r="F91" s="45">
        <v>109224.18608</v>
      </c>
      <c r="G91" s="45">
        <v>90340.415887363473</v>
      </c>
      <c r="H91" s="46">
        <v>0.34917808897517855</v>
      </c>
      <c r="I91" s="46">
        <v>-0.17289000605420235</v>
      </c>
      <c r="J91" s="46">
        <v>0.14454621675697976</v>
      </c>
    </row>
    <row r="92" spans="1:10" ht="11.25" customHeight="1" x14ac:dyDescent="0.2">
      <c r="A92" s="55">
        <v>44682</v>
      </c>
      <c r="B92" s="45">
        <v>0</v>
      </c>
      <c r="C92" s="45">
        <v>0</v>
      </c>
      <c r="D92" s="45">
        <v>158787.80019000001</v>
      </c>
      <c r="E92" s="45">
        <v>214233.02081291674</v>
      </c>
      <c r="F92" s="45">
        <v>102360.86023999999</v>
      </c>
      <c r="G92" s="45">
        <v>84663.690493393035</v>
      </c>
      <c r="H92" s="46">
        <v>0.34917808897517877</v>
      </c>
      <c r="I92" s="46">
        <v>-0.17289000605420235</v>
      </c>
      <c r="J92" s="46">
        <v>0.14454621675698021</v>
      </c>
    </row>
    <row r="93" spans="1:10" ht="11.25" customHeight="1" x14ac:dyDescent="0.2">
      <c r="A93" s="55">
        <v>44713</v>
      </c>
      <c r="B93" s="45">
        <v>0</v>
      </c>
      <c r="C93" s="45">
        <v>0</v>
      </c>
      <c r="D93" s="45">
        <v>171051.04089</v>
      </c>
      <c r="E93" s="45">
        <v>230778.31646518537</v>
      </c>
      <c r="F93" s="45">
        <v>110266.22744</v>
      </c>
      <c r="G93" s="45">
        <v>91202.298710324336</v>
      </c>
      <c r="H93" s="46">
        <v>0.34917808897517877</v>
      </c>
      <c r="I93" s="46">
        <v>-0.17289000605420246</v>
      </c>
      <c r="J93" s="46">
        <v>0.14454621675698021</v>
      </c>
    </row>
    <row r="94" spans="1:10" ht="11.25" customHeight="1" x14ac:dyDescent="0.2">
      <c r="A94" s="55">
        <v>44743</v>
      </c>
      <c r="B94" s="45">
        <v>0</v>
      </c>
      <c r="C94" s="45">
        <v>0</v>
      </c>
      <c r="D94" s="45">
        <v>162421.72928999999</v>
      </c>
      <c r="E94" s="45">
        <v>219135.83833152603</v>
      </c>
      <c r="F94" s="45">
        <v>104703.43383999998</v>
      </c>
      <c r="G94" s="45">
        <v>86601.256529506616</v>
      </c>
      <c r="H94" s="46">
        <v>0.34917808897517899</v>
      </c>
      <c r="I94" s="46">
        <v>-0.17289000605420235</v>
      </c>
      <c r="J94" s="46">
        <v>0.14454621675698021</v>
      </c>
    </row>
    <row r="95" spans="1:10" ht="11.25" customHeight="1" x14ac:dyDescent="0.2">
      <c r="A95" s="55">
        <v>44774</v>
      </c>
      <c r="B95" s="45">
        <v>0</v>
      </c>
      <c r="C95" s="45">
        <v>0</v>
      </c>
      <c r="D95" s="45">
        <v>183585.89493000001</v>
      </c>
      <c r="E95" s="45">
        <v>247690.06688445539</v>
      </c>
      <c r="F95" s="45">
        <v>118346.68727999998</v>
      </c>
      <c r="G95" s="45">
        <v>97885.727799665998</v>
      </c>
      <c r="H95" s="46">
        <v>0.34917808897517877</v>
      </c>
      <c r="I95" s="46">
        <v>-0.17289000605420235</v>
      </c>
      <c r="J95" s="46">
        <v>0.14454621675697998</v>
      </c>
    </row>
    <row r="96" spans="1:10" ht="11.25" customHeight="1" x14ac:dyDescent="0.2">
      <c r="A96" s="55">
        <v>44805</v>
      </c>
      <c r="B96" s="45">
        <v>0</v>
      </c>
      <c r="C96" s="45">
        <v>0</v>
      </c>
      <c r="D96" s="45">
        <v>166019.75936999999</v>
      </c>
      <c r="E96" s="45">
        <v>223990.22167893566</v>
      </c>
      <c r="F96" s="45">
        <v>107022.86551999999</v>
      </c>
      <c r="G96" s="45">
        <v>88519.681652309111</v>
      </c>
      <c r="H96" s="46">
        <v>0.34917808897517899</v>
      </c>
      <c r="I96" s="46">
        <v>-0.17289000605420235</v>
      </c>
      <c r="J96" s="46">
        <v>0.14454621675698021</v>
      </c>
    </row>
    <row r="97" spans="1:10" ht="11.25" customHeight="1" x14ac:dyDescent="0.2">
      <c r="A97" s="55">
        <v>44835</v>
      </c>
      <c r="B97" s="45">
        <v>0</v>
      </c>
      <c r="C97" s="45">
        <v>0</v>
      </c>
      <c r="D97" s="45">
        <v>170212.15530000001</v>
      </c>
      <c r="E97" s="45">
        <v>229646.51040800035</v>
      </c>
      <c r="F97" s="45">
        <v>109725.4488</v>
      </c>
      <c r="G97" s="45">
        <v>90755.015292667915</v>
      </c>
      <c r="H97" s="46">
        <v>0.34917808897517877</v>
      </c>
      <c r="I97" s="46">
        <v>-0.17289000605420246</v>
      </c>
      <c r="J97" s="46">
        <v>0.14454621675698021</v>
      </c>
    </row>
    <row r="98" spans="1:10" ht="11.25" customHeight="1" x14ac:dyDescent="0.2">
      <c r="A98" s="48" t="s">
        <v>28</v>
      </c>
      <c r="B98" s="45">
        <v>0</v>
      </c>
      <c r="C98" s="45">
        <v>0</v>
      </c>
      <c r="D98" s="45">
        <v>1270293.8453189998</v>
      </c>
      <c r="E98" s="45">
        <v>1604467.2495162773</v>
      </c>
      <c r="F98" s="45">
        <v>818883.20146860054</v>
      </c>
      <c r="G98" s="45">
        <v>634076.47478610126</v>
      </c>
      <c r="H98" s="46">
        <v>0.26306779760344257</v>
      </c>
      <c r="I98" s="46">
        <v>-0.22568142361580146</v>
      </c>
      <c r="J98" s="46">
        <v>7.1495461691220008E-2</v>
      </c>
    </row>
    <row r="99" spans="1:10" ht="11.25" customHeight="1" x14ac:dyDescent="0.2">
      <c r="A99" s="49" t="s">
        <v>23</v>
      </c>
      <c r="B99" s="45">
        <v>0</v>
      </c>
      <c r="C99" s="45">
        <v>0</v>
      </c>
      <c r="D99" s="45">
        <v>1270293.8453189998</v>
      </c>
      <c r="E99" s="45">
        <v>1604467.2495162773</v>
      </c>
      <c r="F99" s="45">
        <v>818883.20146860054</v>
      </c>
      <c r="G99" s="45">
        <v>634076.47478610126</v>
      </c>
      <c r="H99" s="46">
        <v>0.26306779760344257</v>
      </c>
      <c r="I99" s="46">
        <v>-0.22568142361580146</v>
      </c>
      <c r="J99" s="46">
        <v>7.1495461691220008E-2</v>
      </c>
    </row>
    <row r="100" spans="1:10" ht="11.25" customHeight="1" x14ac:dyDescent="0.2">
      <c r="A100" s="50" t="s">
        <v>30</v>
      </c>
      <c r="B100" s="45">
        <v>0</v>
      </c>
      <c r="C100" s="45">
        <v>0</v>
      </c>
      <c r="D100" s="45">
        <v>554768.58715000004</v>
      </c>
      <c r="E100" s="45">
        <v>700710.33755112404</v>
      </c>
      <c r="F100" s="45">
        <v>357626.44871000003</v>
      </c>
      <c r="G100" s="45">
        <v>276916.80264246382</v>
      </c>
      <c r="H100" s="46">
        <v>0.26306779760344257</v>
      </c>
      <c r="I100" s="46">
        <v>-0.22568142361580112</v>
      </c>
      <c r="J100" s="46">
        <v>7.1495461691220008E-2</v>
      </c>
    </row>
    <row r="101" spans="1:10" ht="11.25" customHeight="1" x14ac:dyDescent="0.2">
      <c r="A101" s="51" t="s">
        <v>25</v>
      </c>
      <c r="B101" s="45">
        <v>0</v>
      </c>
      <c r="C101" s="45">
        <v>0</v>
      </c>
      <c r="D101" s="45">
        <v>554768.58715000004</v>
      </c>
      <c r="E101" s="45">
        <v>700710.33755112404</v>
      </c>
      <c r="F101" s="45">
        <v>357626.44871000003</v>
      </c>
      <c r="G101" s="45">
        <v>276916.80264246382</v>
      </c>
      <c r="H101" s="46">
        <v>0.26306779760344257</v>
      </c>
      <c r="I101" s="46">
        <v>-0.22568142361580112</v>
      </c>
      <c r="J101" s="46">
        <v>7.1495461691220008E-2</v>
      </c>
    </row>
    <row r="102" spans="1:10" ht="11.25" customHeight="1" x14ac:dyDescent="0.2">
      <c r="A102" s="52" t="s">
        <v>25</v>
      </c>
      <c r="B102" s="45">
        <v>0</v>
      </c>
      <c r="C102" s="45">
        <v>0</v>
      </c>
      <c r="D102" s="45">
        <v>554768.58715000004</v>
      </c>
      <c r="E102" s="45">
        <v>700710.33755112404</v>
      </c>
      <c r="F102" s="45">
        <v>357626.44871000003</v>
      </c>
      <c r="G102" s="45">
        <v>276916.80264246382</v>
      </c>
      <c r="H102" s="46">
        <v>0.26306779760344257</v>
      </c>
      <c r="I102" s="46">
        <v>-0.22568142361580112</v>
      </c>
      <c r="J102" s="46">
        <v>7.1495461691220008E-2</v>
      </c>
    </row>
    <row r="103" spans="1:10" ht="11.25" customHeight="1" x14ac:dyDescent="0.2">
      <c r="A103" s="53" t="s">
        <v>25</v>
      </c>
      <c r="B103" s="45">
        <v>0</v>
      </c>
      <c r="C103" s="45">
        <v>0</v>
      </c>
      <c r="D103" s="45">
        <v>554768.58715000004</v>
      </c>
      <c r="E103" s="45">
        <v>700710.33755112404</v>
      </c>
      <c r="F103" s="45">
        <v>357626.44871000003</v>
      </c>
      <c r="G103" s="45">
        <v>276916.80264246382</v>
      </c>
      <c r="H103" s="46">
        <v>0.26306779760344257</v>
      </c>
      <c r="I103" s="46">
        <v>-0.22568142361580112</v>
      </c>
      <c r="J103" s="46">
        <v>7.1495461691220008E-2</v>
      </c>
    </row>
    <row r="104" spans="1:10" ht="11.25" customHeight="1" x14ac:dyDescent="0.2">
      <c r="A104" s="54" t="s">
        <v>25</v>
      </c>
      <c r="B104" s="45">
        <v>0</v>
      </c>
      <c r="C104" s="45">
        <v>0</v>
      </c>
      <c r="D104" s="45">
        <v>554768.58715000004</v>
      </c>
      <c r="E104" s="45">
        <v>700710.33755112404</v>
      </c>
      <c r="F104" s="45">
        <v>357626.44871000003</v>
      </c>
      <c r="G104" s="45">
        <v>276916.80264246382</v>
      </c>
      <c r="H104" s="46">
        <v>0.26306779760344257</v>
      </c>
      <c r="I104" s="46">
        <v>-0.22568142361580112</v>
      </c>
      <c r="J104" s="46">
        <v>7.1495461691220008E-2</v>
      </c>
    </row>
    <row r="105" spans="1:10" ht="11.25" customHeight="1" x14ac:dyDescent="0.2">
      <c r="A105" s="55">
        <v>44501</v>
      </c>
      <c r="B105" s="45">
        <v>0</v>
      </c>
      <c r="C105" s="45">
        <v>0</v>
      </c>
      <c r="D105" s="45">
        <v>42427.018550000001</v>
      </c>
      <c r="E105" s="45">
        <v>53588.200878828909</v>
      </c>
      <c r="F105" s="45">
        <v>27350.185870000001</v>
      </c>
      <c r="G105" s="45">
        <v>21177.756986701628</v>
      </c>
      <c r="H105" s="46">
        <v>0.26306779760344279</v>
      </c>
      <c r="I105" s="46">
        <v>-0.22568142361580124</v>
      </c>
      <c r="J105" s="46">
        <v>7.1495461691220008E-2</v>
      </c>
    </row>
    <row r="106" spans="1:10" ht="11.25" customHeight="1" x14ac:dyDescent="0.2">
      <c r="A106" s="55">
        <v>44531</v>
      </c>
      <c r="B106" s="45">
        <v>0</v>
      </c>
      <c r="C106" s="45">
        <v>0</v>
      </c>
      <c r="D106" s="45">
        <v>43545.007799999999</v>
      </c>
      <c r="E106" s="45">
        <v>55000.297098570729</v>
      </c>
      <c r="F106" s="45">
        <v>28070.887319999998</v>
      </c>
      <c r="G106" s="45">
        <v>21735.809507463655</v>
      </c>
      <c r="H106" s="46">
        <v>0.26306779760344257</v>
      </c>
      <c r="I106" s="46">
        <v>-0.22568142361580124</v>
      </c>
      <c r="J106" s="46">
        <v>7.1495461691220008E-2</v>
      </c>
    </row>
    <row r="107" spans="1:10" ht="11.25" customHeight="1" x14ac:dyDescent="0.2">
      <c r="A107" s="55">
        <v>44562</v>
      </c>
      <c r="B107" s="45">
        <v>0</v>
      </c>
      <c r="C107" s="45">
        <v>0</v>
      </c>
      <c r="D107" s="45">
        <v>47858.791450000004</v>
      </c>
      <c r="E107" s="45">
        <v>60448.898312713965</v>
      </c>
      <c r="F107" s="45">
        <v>30851.72813</v>
      </c>
      <c r="G107" s="45">
        <v>23889.066204613937</v>
      </c>
      <c r="H107" s="46">
        <v>0.26306779760344234</v>
      </c>
      <c r="I107" s="46">
        <v>-0.22568142361580124</v>
      </c>
      <c r="J107" s="46">
        <v>7.1495461691219786E-2</v>
      </c>
    </row>
    <row r="108" spans="1:10" ht="11.25" customHeight="1" x14ac:dyDescent="0.2">
      <c r="A108" s="55">
        <v>44593</v>
      </c>
      <c r="B108" s="45">
        <v>0</v>
      </c>
      <c r="C108" s="45">
        <v>0</v>
      </c>
      <c r="D108" s="45">
        <v>49915.814700000003</v>
      </c>
      <c r="E108" s="45">
        <v>63047.058138710549</v>
      </c>
      <c r="F108" s="45">
        <v>32177.769179999999</v>
      </c>
      <c r="G108" s="45">
        <v>24915.84442267695</v>
      </c>
      <c r="H108" s="46">
        <v>0.26306779760344257</v>
      </c>
      <c r="I108" s="46">
        <v>-0.22568142361580112</v>
      </c>
      <c r="J108" s="46">
        <v>7.1495461691220008E-2</v>
      </c>
    </row>
    <row r="109" spans="1:10" ht="11.25" customHeight="1" x14ac:dyDescent="0.2">
      <c r="A109" s="55">
        <v>44621</v>
      </c>
      <c r="B109" s="45">
        <v>0</v>
      </c>
      <c r="C109" s="45">
        <v>0</v>
      </c>
      <c r="D109" s="45">
        <v>49943.523900000007</v>
      </c>
      <c r="E109" s="45">
        <v>63082.056736927902</v>
      </c>
      <c r="F109" s="45">
        <v>32195.631660000003</v>
      </c>
      <c r="G109" s="45">
        <v>24929.675672761237</v>
      </c>
      <c r="H109" s="46">
        <v>0.26306779760344257</v>
      </c>
      <c r="I109" s="46">
        <v>-0.22568142361580135</v>
      </c>
      <c r="J109" s="46">
        <v>7.1495461691219786E-2</v>
      </c>
    </row>
    <row r="110" spans="1:10" ht="11.25" customHeight="1" x14ac:dyDescent="0.2">
      <c r="A110" s="55">
        <v>44652</v>
      </c>
      <c r="B110" s="45">
        <v>0</v>
      </c>
      <c r="C110" s="45">
        <v>0</v>
      </c>
      <c r="D110" s="45">
        <v>46510.661900000006</v>
      </c>
      <c r="E110" s="45">
        <v>58746.119291111354</v>
      </c>
      <c r="F110" s="45">
        <v>29982.668860000002</v>
      </c>
      <c r="G110" s="45">
        <v>23216.137467874047</v>
      </c>
      <c r="H110" s="46">
        <v>0.26306779760344257</v>
      </c>
      <c r="I110" s="46">
        <v>-0.22568142361580135</v>
      </c>
      <c r="J110" s="46">
        <v>7.1495461691219786E-2</v>
      </c>
    </row>
    <row r="111" spans="1:10" ht="11.25" customHeight="1" x14ac:dyDescent="0.2">
      <c r="A111" s="55">
        <v>44682</v>
      </c>
      <c r="B111" s="45">
        <v>0</v>
      </c>
      <c r="C111" s="45">
        <v>0</v>
      </c>
      <c r="D111" s="45">
        <v>43832.490750000004</v>
      </c>
      <c r="E111" s="45">
        <v>55363.407555075777</v>
      </c>
      <c r="F111" s="45">
        <v>28256.210550000003</v>
      </c>
      <c r="G111" s="45">
        <v>21879.308727088177</v>
      </c>
      <c r="H111" s="46">
        <v>0.26306779760344257</v>
      </c>
      <c r="I111" s="46">
        <v>-0.22568142361580135</v>
      </c>
      <c r="J111" s="46">
        <v>7.1495461691219786E-2</v>
      </c>
    </row>
    <row r="112" spans="1:10" ht="11.25" customHeight="1" x14ac:dyDescent="0.2">
      <c r="A112" s="55">
        <v>44713</v>
      </c>
      <c r="B112" s="45">
        <v>0</v>
      </c>
      <c r="C112" s="45">
        <v>0</v>
      </c>
      <c r="D112" s="45">
        <v>43451.874100000001</v>
      </c>
      <c r="E112" s="45">
        <v>54882.662921229072</v>
      </c>
      <c r="F112" s="45">
        <v>28010.849540000003</v>
      </c>
      <c r="G112" s="45">
        <v>21689.32113912479</v>
      </c>
      <c r="H112" s="46">
        <v>0.26306779760344257</v>
      </c>
      <c r="I112" s="46">
        <v>-0.22568142361580124</v>
      </c>
      <c r="J112" s="46">
        <v>7.1495461691219786E-2</v>
      </c>
    </row>
    <row r="113" spans="1:10" ht="11.25" customHeight="1" x14ac:dyDescent="0.2">
      <c r="A113" s="55">
        <v>44743</v>
      </c>
      <c r="B113" s="45">
        <v>0</v>
      </c>
      <c r="C113" s="45">
        <v>0</v>
      </c>
      <c r="D113" s="45">
        <v>40885.309450000001</v>
      </c>
      <c r="E113" s="45">
        <v>51640.917761346725</v>
      </c>
      <c r="F113" s="45">
        <v>26356.337330000002</v>
      </c>
      <c r="G113" s="45">
        <v>20408.201600067314</v>
      </c>
      <c r="H113" s="46">
        <v>0.26306779760344279</v>
      </c>
      <c r="I113" s="46">
        <v>-0.22568142361580135</v>
      </c>
      <c r="J113" s="46">
        <v>7.1495461691219786E-2</v>
      </c>
    </row>
    <row r="114" spans="1:10" ht="11.25" customHeight="1" x14ac:dyDescent="0.2">
      <c r="A114" s="55">
        <v>44774</v>
      </c>
      <c r="B114" s="45">
        <v>0</v>
      </c>
      <c r="C114" s="45">
        <v>0</v>
      </c>
      <c r="D114" s="45">
        <v>42639.455750000001</v>
      </c>
      <c r="E114" s="45">
        <v>53856.523465161947</v>
      </c>
      <c r="F114" s="45">
        <v>27487.131549999998</v>
      </c>
      <c r="G114" s="45">
        <v>21283.796570681192</v>
      </c>
      <c r="H114" s="46">
        <v>0.26306779760344257</v>
      </c>
      <c r="I114" s="46">
        <v>-0.22568142361580124</v>
      </c>
      <c r="J114" s="46">
        <v>7.1495461691219786E-2</v>
      </c>
    </row>
    <row r="115" spans="1:10" ht="11.25" customHeight="1" x14ac:dyDescent="0.2">
      <c r="A115" s="55">
        <v>44805</v>
      </c>
      <c r="B115" s="45">
        <v>0</v>
      </c>
      <c r="C115" s="45">
        <v>0</v>
      </c>
      <c r="D115" s="45">
        <v>44906.222250000006</v>
      </c>
      <c r="E115" s="45">
        <v>56719.603235998213</v>
      </c>
      <c r="F115" s="45">
        <v>28948.381650000003</v>
      </c>
      <c r="G115" s="45">
        <v>22415.269667854463</v>
      </c>
      <c r="H115" s="46">
        <v>0.26306779760344257</v>
      </c>
      <c r="I115" s="46">
        <v>-0.22568142361580135</v>
      </c>
      <c r="J115" s="46">
        <v>7.1495461691219786E-2</v>
      </c>
    </row>
    <row r="116" spans="1:10" ht="11.25" customHeight="1" x14ac:dyDescent="0.2">
      <c r="A116" s="55">
        <v>44835</v>
      </c>
      <c r="B116" s="45">
        <v>0</v>
      </c>
      <c r="C116" s="45">
        <v>0</v>
      </c>
      <c r="D116" s="45">
        <v>58852.416550000002</v>
      </c>
      <c r="E116" s="45">
        <v>74334.592155448903</v>
      </c>
      <c r="F116" s="45">
        <v>37938.667070000003</v>
      </c>
      <c r="G116" s="45">
        <v>29376.614675556481</v>
      </c>
      <c r="H116" s="46">
        <v>0.26306779760344279</v>
      </c>
      <c r="I116" s="46">
        <v>-0.22568142361580135</v>
      </c>
      <c r="J116" s="46">
        <v>7.1495461691220008E-2</v>
      </c>
    </row>
    <row r="117" spans="1:10" ht="11.25" customHeight="1" x14ac:dyDescent="0.2">
      <c r="A117" s="50" t="s">
        <v>29</v>
      </c>
      <c r="B117" s="45">
        <v>0</v>
      </c>
      <c r="C117" s="45">
        <v>0</v>
      </c>
      <c r="D117" s="45">
        <v>573402.25445000001</v>
      </c>
      <c r="E117" s="45">
        <v>724245.92266901047</v>
      </c>
      <c r="F117" s="45">
        <v>369638.47033000004</v>
      </c>
      <c r="G117" s="45">
        <v>286217.93412275851</v>
      </c>
      <c r="H117" s="46">
        <v>0.26306779760344234</v>
      </c>
      <c r="I117" s="46">
        <v>-0.22568142361580112</v>
      </c>
      <c r="J117" s="46">
        <v>7.1495461691220008E-2</v>
      </c>
    </row>
    <row r="118" spans="1:10" ht="11.25" customHeight="1" x14ac:dyDescent="0.2">
      <c r="A118" s="51" t="s">
        <v>25</v>
      </c>
      <c r="B118" s="45">
        <v>0</v>
      </c>
      <c r="C118" s="45">
        <v>0</v>
      </c>
      <c r="D118" s="45">
        <v>573402.25445000001</v>
      </c>
      <c r="E118" s="45">
        <v>724245.92266901047</v>
      </c>
      <c r="F118" s="45">
        <v>369638.47033000004</v>
      </c>
      <c r="G118" s="45">
        <v>286217.93412275851</v>
      </c>
      <c r="H118" s="46">
        <v>0.26306779760344234</v>
      </c>
      <c r="I118" s="46">
        <v>-0.22568142361580112</v>
      </c>
      <c r="J118" s="46">
        <v>7.1495461691220008E-2</v>
      </c>
    </row>
    <row r="119" spans="1:10" ht="11.25" customHeight="1" x14ac:dyDescent="0.2">
      <c r="A119" s="52" t="s">
        <v>25</v>
      </c>
      <c r="B119" s="45">
        <v>0</v>
      </c>
      <c r="C119" s="45">
        <v>0</v>
      </c>
      <c r="D119" s="45">
        <v>573402.25445000001</v>
      </c>
      <c r="E119" s="45">
        <v>724245.92266901047</v>
      </c>
      <c r="F119" s="45">
        <v>369638.47033000004</v>
      </c>
      <c r="G119" s="45">
        <v>286217.93412275851</v>
      </c>
      <c r="H119" s="46">
        <v>0.26306779760344234</v>
      </c>
      <c r="I119" s="46">
        <v>-0.22568142361580112</v>
      </c>
      <c r="J119" s="46">
        <v>7.1495461691220008E-2</v>
      </c>
    </row>
    <row r="120" spans="1:10" ht="11.25" customHeight="1" x14ac:dyDescent="0.2">
      <c r="A120" s="53" t="s">
        <v>25</v>
      </c>
      <c r="B120" s="45">
        <v>0</v>
      </c>
      <c r="C120" s="45">
        <v>0</v>
      </c>
      <c r="D120" s="45">
        <v>573402.25445000001</v>
      </c>
      <c r="E120" s="45">
        <v>724245.92266901047</v>
      </c>
      <c r="F120" s="45">
        <v>369638.47033000004</v>
      </c>
      <c r="G120" s="45">
        <v>286217.93412275851</v>
      </c>
      <c r="H120" s="46">
        <v>0.26306779760344234</v>
      </c>
      <c r="I120" s="46">
        <v>-0.22568142361580112</v>
      </c>
      <c r="J120" s="46">
        <v>7.1495461691220008E-2</v>
      </c>
    </row>
    <row r="121" spans="1:10" ht="11.25" customHeight="1" x14ac:dyDescent="0.2">
      <c r="A121" s="54" t="s">
        <v>25</v>
      </c>
      <c r="B121" s="45">
        <v>0</v>
      </c>
      <c r="C121" s="45">
        <v>0</v>
      </c>
      <c r="D121" s="45">
        <v>573402.25445000001</v>
      </c>
      <c r="E121" s="45">
        <v>724245.92266901047</v>
      </c>
      <c r="F121" s="45">
        <v>369638.47033000004</v>
      </c>
      <c r="G121" s="45">
        <v>286217.93412275851</v>
      </c>
      <c r="H121" s="46">
        <v>0.26306779760344234</v>
      </c>
      <c r="I121" s="46">
        <v>-0.22568142361580112</v>
      </c>
      <c r="J121" s="46">
        <v>7.1495461691220008E-2</v>
      </c>
    </row>
    <row r="122" spans="1:10" ht="11.25" customHeight="1" x14ac:dyDescent="0.2">
      <c r="A122" s="55">
        <v>44501</v>
      </c>
      <c r="B122" s="45">
        <v>0</v>
      </c>
      <c r="C122" s="45">
        <v>0</v>
      </c>
      <c r="D122" s="45">
        <v>48128.571299999996</v>
      </c>
      <c r="E122" s="45">
        <v>60789.648553691259</v>
      </c>
      <c r="F122" s="45">
        <v>31025.639220000001</v>
      </c>
      <c r="G122" s="45">
        <v>24023.728792240163</v>
      </c>
      <c r="H122" s="46">
        <v>0.26306779760344279</v>
      </c>
      <c r="I122" s="46">
        <v>-0.22568142361580124</v>
      </c>
      <c r="J122" s="46">
        <v>7.1495461691220008E-2</v>
      </c>
    </row>
    <row r="123" spans="1:10" ht="11.25" customHeight="1" x14ac:dyDescent="0.2">
      <c r="A123" s="55">
        <v>44531</v>
      </c>
      <c r="B123" s="45">
        <v>0</v>
      </c>
      <c r="C123" s="45">
        <v>0</v>
      </c>
      <c r="D123" s="45">
        <v>49535.582900000009</v>
      </c>
      <c r="E123" s="45">
        <v>62566.799596505756</v>
      </c>
      <c r="F123" s="45">
        <v>31932.656260000003</v>
      </c>
      <c r="G123" s="45">
        <v>24726.048935409177</v>
      </c>
      <c r="H123" s="46">
        <v>0.26306779760344257</v>
      </c>
      <c r="I123" s="46">
        <v>-0.22568142361580124</v>
      </c>
      <c r="J123" s="46">
        <v>7.1495461691219786E-2</v>
      </c>
    </row>
    <row r="124" spans="1:10" ht="11.25" customHeight="1" x14ac:dyDescent="0.2">
      <c r="A124" s="55">
        <v>44562</v>
      </c>
      <c r="B124" s="45">
        <v>0</v>
      </c>
      <c r="C124" s="45">
        <v>0</v>
      </c>
      <c r="D124" s="45">
        <v>38657.027950000003</v>
      </c>
      <c r="E124" s="45">
        <v>48826.447154701222</v>
      </c>
      <c r="F124" s="45">
        <v>24919.896230000002</v>
      </c>
      <c r="G124" s="45">
        <v>19295.938572455565</v>
      </c>
      <c r="H124" s="46">
        <v>0.26306779760344234</v>
      </c>
      <c r="I124" s="46">
        <v>-0.22568142361580112</v>
      </c>
      <c r="J124" s="46">
        <v>7.1495461691219786E-2</v>
      </c>
    </row>
    <row r="125" spans="1:10" ht="11.25" customHeight="1" x14ac:dyDescent="0.2">
      <c r="A125" s="55">
        <v>44593</v>
      </c>
      <c r="B125" s="45">
        <v>0</v>
      </c>
      <c r="C125" s="45">
        <v>0</v>
      </c>
      <c r="D125" s="45">
        <v>45981.493149999995</v>
      </c>
      <c r="E125" s="45">
        <v>58077.743283488286</v>
      </c>
      <c r="F125" s="45">
        <v>29641.545109999999</v>
      </c>
      <c r="G125" s="45">
        <v>22951.999011403208</v>
      </c>
      <c r="H125" s="46">
        <v>0.26306779760344279</v>
      </c>
      <c r="I125" s="46">
        <v>-0.22568142361580124</v>
      </c>
      <c r="J125" s="46">
        <v>7.1495461691220008E-2</v>
      </c>
    </row>
    <row r="126" spans="1:10" ht="11.25" customHeight="1" x14ac:dyDescent="0.2">
      <c r="A126" s="55">
        <v>44621</v>
      </c>
      <c r="B126" s="45">
        <v>0</v>
      </c>
      <c r="C126" s="45">
        <v>0</v>
      </c>
      <c r="D126" s="45">
        <v>46975.560700000002</v>
      </c>
      <c r="E126" s="45">
        <v>59333.317994535835</v>
      </c>
      <c r="F126" s="45">
        <v>30282.361580000001</v>
      </c>
      <c r="G126" s="45">
        <v>23448.195108177155</v>
      </c>
      <c r="H126" s="46">
        <v>0.26306779760344257</v>
      </c>
      <c r="I126" s="46">
        <v>-0.22568142361580124</v>
      </c>
      <c r="J126" s="46">
        <v>7.1495461691219786E-2</v>
      </c>
    </row>
    <row r="127" spans="1:10" ht="11.25" customHeight="1" x14ac:dyDescent="0.2">
      <c r="A127" s="55">
        <v>44652</v>
      </c>
      <c r="B127" s="45">
        <v>0</v>
      </c>
      <c r="C127" s="45">
        <v>0</v>
      </c>
      <c r="D127" s="45">
        <v>46467.943550000004</v>
      </c>
      <c r="E127" s="45">
        <v>58692.1631188596</v>
      </c>
      <c r="F127" s="45">
        <v>29955.130870000001</v>
      </c>
      <c r="G127" s="45">
        <v>23194.814290660768</v>
      </c>
      <c r="H127" s="46">
        <v>0.26306779760344257</v>
      </c>
      <c r="I127" s="46">
        <v>-0.22568142361580112</v>
      </c>
      <c r="J127" s="46">
        <v>7.1495461691219786E-2</v>
      </c>
    </row>
    <row r="128" spans="1:10" ht="11.25" customHeight="1" x14ac:dyDescent="0.2">
      <c r="A128" s="55">
        <v>44682</v>
      </c>
      <c r="B128" s="45">
        <v>0</v>
      </c>
      <c r="C128" s="45">
        <v>0</v>
      </c>
      <c r="D128" s="45">
        <v>50124.403400000003</v>
      </c>
      <c r="E128" s="45">
        <v>63310.519808624507</v>
      </c>
      <c r="F128" s="45">
        <v>32312.233959999998</v>
      </c>
      <c r="G128" s="45">
        <v>25019.962999700361</v>
      </c>
      <c r="H128" s="46">
        <v>0.26306779760344257</v>
      </c>
      <c r="I128" s="46">
        <v>-0.22568142361580124</v>
      </c>
      <c r="J128" s="46">
        <v>7.1495461691220008E-2</v>
      </c>
    </row>
    <row r="129" spans="1:10" ht="11.25" customHeight="1" x14ac:dyDescent="0.2">
      <c r="A129" s="55">
        <v>44713</v>
      </c>
      <c r="B129" s="45">
        <v>0</v>
      </c>
      <c r="C129" s="45">
        <v>0</v>
      </c>
      <c r="D129" s="45">
        <v>50177.127850000004</v>
      </c>
      <c r="E129" s="45">
        <v>63377.114363565866</v>
      </c>
      <c r="F129" s="45">
        <v>32346.222289999998</v>
      </c>
      <c r="G129" s="45">
        <v>25046.280794999635</v>
      </c>
      <c r="H129" s="46">
        <v>0.26306779760344257</v>
      </c>
      <c r="I129" s="46">
        <v>-0.22568142361580124</v>
      </c>
      <c r="J129" s="46">
        <v>7.1495461691220008E-2</v>
      </c>
    </row>
    <row r="130" spans="1:10" ht="11.25" customHeight="1" x14ac:dyDescent="0.2">
      <c r="A130" s="55">
        <v>44743</v>
      </c>
      <c r="B130" s="45">
        <v>0</v>
      </c>
      <c r="C130" s="45">
        <v>0</v>
      </c>
      <c r="D130" s="45">
        <v>49301.594100000002</v>
      </c>
      <c r="E130" s="45">
        <v>62271.255878225878</v>
      </c>
      <c r="F130" s="45">
        <v>31781.817539999996</v>
      </c>
      <c r="G130" s="45">
        <v>24609.251712475158</v>
      </c>
      <c r="H130" s="46">
        <v>0.26306779760344257</v>
      </c>
      <c r="I130" s="46">
        <v>-0.22568142361580112</v>
      </c>
      <c r="J130" s="46">
        <v>7.1495461691219786E-2</v>
      </c>
    </row>
    <row r="131" spans="1:10" ht="11.25" customHeight="1" x14ac:dyDescent="0.2">
      <c r="A131" s="55">
        <v>44774</v>
      </c>
      <c r="B131" s="45">
        <v>0</v>
      </c>
      <c r="C131" s="45">
        <v>0</v>
      </c>
      <c r="D131" s="45">
        <v>51780.7978</v>
      </c>
      <c r="E131" s="45">
        <v>65402.658235395196</v>
      </c>
      <c r="F131" s="45">
        <v>33380.013320000005</v>
      </c>
      <c r="G131" s="45">
        <v>25846.764393627993</v>
      </c>
      <c r="H131" s="46">
        <v>0.26306779760344279</v>
      </c>
      <c r="I131" s="46">
        <v>-0.22568142361580135</v>
      </c>
      <c r="J131" s="46">
        <v>7.1495461691220008E-2</v>
      </c>
    </row>
    <row r="132" spans="1:10" ht="11.25" customHeight="1" x14ac:dyDescent="0.2">
      <c r="A132" s="55">
        <v>44805</v>
      </c>
      <c r="B132" s="45">
        <v>0</v>
      </c>
      <c r="C132" s="45">
        <v>0</v>
      </c>
      <c r="D132" s="45">
        <v>45047.847049999997</v>
      </c>
      <c r="E132" s="45">
        <v>56898.484960220238</v>
      </c>
      <c r="F132" s="45">
        <v>29039.678769999999</v>
      </c>
      <c r="G132" s="45">
        <v>22485.962723840839</v>
      </c>
      <c r="H132" s="46">
        <v>0.26306779760344257</v>
      </c>
      <c r="I132" s="46">
        <v>-0.22568142361580124</v>
      </c>
      <c r="J132" s="46">
        <v>7.1495461691220008E-2</v>
      </c>
    </row>
    <row r="133" spans="1:10" ht="11.25" customHeight="1" x14ac:dyDescent="0.2">
      <c r="A133" s="55">
        <v>44835</v>
      </c>
      <c r="B133" s="45">
        <v>0</v>
      </c>
      <c r="C133" s="45">
        <v>0</v>
      </c>
      <c r="D133" s="45">
        <v>51224.304700000001</v>
      </c>
      <c r="E133" s="45">
        <v>64699.769721196673</v>
      </c>
      <c r="F133" s="45">
        <v>33021.275179999997</v>
      </c>
      <c r="G133" s="45">
        <v>25568.986787768474</v>
      </c>
      <c r="H133" s="46">
        <v>0.26306779760344257</v>
      </c>
      <c r="I133" s="46">
        <v>-0.22568142361580124</v>
      </c>
      <c r="J133" s="46">
        <v>7.1495461691219786E-2</v>
      </c>
    </row>
    <row r="134" spans="1:10" ht="11.25" customHeight="1" x14ac:dyDescent="0.2">
      <c r="A134" s="50" t="s">
        <v>33</v>
      </c>
      <c r="B134" s="45">
        <v>0</v>
      </c>
      <c r="C134" s="45">
        <v>0</v>
      </c>
      <c r="D134" s="45">
        <v>138020.29490000001</v>
      </c>
      <c r="E134" s="45">
        <v>174328.98990392065</v>
      </c>
      <c r="F134" s="45">
        <v>88973.509060000026</v>
      </c>
      <c r="G134" s="45">
        <v>68893.840871245804</v>
      </c>
      <c r="H134" s="46">
        <v>0.26306779760344234</v>
      </c>
      <c r="I134" s="46">
        <v>-0.22568142361580157</v>
      </c>
      <c r="J134" s="46">
        <v>7.1495461691219564E-2</v>
      </c>
    </row>
    <row r="135" spans="1:10" ht="11.25" customHeight="1" x14ac:dyDescent="0.2">
      <c r="A135" s="51" t="s">
        <v>25</v>
      </c>
      <c r="B135" s="45">
        <v>0</v>
      </c>
      <c r="C135" s="45">
        <v>0</v>
      </c>
      <c r="D135" s="45">
        <v>138020.29490000001</v>
      </c>
      <c r="E135" s="45">
        <v>174328.98990392065</v>
      </c>
      <c r="F135" s="45">
        <v>88973.509060000026</v>
      </c>
      <c r="G135" s="45">
        <v>68893.840871245804</v>
      </c>
      <c r="H135" s="46">
        <v>0.26306779760344234</v>
      </c>
      <c r="I135" s="46">
        <v>-0.22568142361580157</v>
      </c>
      <c r="J135" s="46">
        <v>7.1495461691219564E-2</v>
      </c>
    </row>
    <row r="136" spans="1:10" ht="11.25" customHeight="1" x14ac:dyDescent="0.2">
      <c r="A136" s="52" t="s">
        <v>25</v>
      </c>
      <c r="B136" s="45">
        <v>0</v>
      </c>
      <c r="C136" s="45">
        <v>0</v>
      </c>
      <c r="D136" s="45">
        <v>138020.29490000001</v>
      </c>
      <c r="E136" s="45">
        <v>174328.98990392065</v>
      </c>
      <c r="F136" s="45">
        <v>88973.509060000026</v>
      </c>
      <c r="G136" s="45">
        <v>68893.840871245804</v>
      </c>
      <c r="H136" s="46">
        <v>0.26306779760344234</v>
      </c>
      <c r="I136" s="46">
        <v>-0.22568142361580157</v>
      </c>
      <c r="J136" s="46">
        <v>7.1495461691219564E-2</v>
      </c>
    </row>
    <row r="137" spans="1:10" ht="11.25" customHeight="1" x14ac:dyDescent="0.2">
      <c r="A137" s="53" t="s">
        <v>25</v>
      </c>
      <c r="B137" s="45">
        <v>0</v>
      </c>
      <c r="C137" s="45">
        <v>0</v>
      </c>
      <c r="D137" s="45">
        <v>138020.29490000001</v>
      </c>
      <c r="E137" s="45">
        <v>174328.98990392065</v>
      </c>
      <c r="F137" s="45">
        <v>88973.509060000026</v>
      </c>
      <c r="G137" s="45">
        <v>68893.840871245804</v>
      </c>
      <c r="H137" s="46">
        <v>0.26306779760344234</v>
      </c>
      <c r="I137" s="46">
        <v>-0.22568142361580157</v>
      </c>
      <c r="J137" s="46">
        <v>7.1495461691219564E-2</v>
      </c>
    </row>
    <row r="138" spans="1:10" ht="11.25" customHeight="1" x14ac:dyDescent="0.2">
      <c r="A138" s="54" t="s">
        <v>25</v>
      </c>
      <c r="B138" s="45">
        <v>0</v>
      </c>
      <c r="C138" s="45">
        <v>0</v>
      </c>
      <c r="D138" s="45">
        <v>138020.29490000001</v>
      </c>
      <c r="E138" s="45">
        <v>174328.98990392065</v>
      </c>
      <c r="F138" s="45">
        <v>88973.509060000026</v>
      </c>
      <c r="G138" s="45">
        <v>68893.840871245804</v>
      </c>
      <c r="H138" s="46">
        <v>0.26306779760344234</v>
      </c>
      <c r="I138" s="46">
        <v>-0.22568142361580157</v>
      </c>
      <c r="J138" s="46">
        <v>7.1495461691219564E-2</v>
      </c>
    </row>
    <row r="139" spans="1:10" ht="11.25" customHeight="1" x14ac:dyDescent="0.2">
      <c r="A139" s="55">
        <v>44501</v>
      </c>
      <c r="B139" s="45">
        <v>0</v>
      </c>
      <c r="C139" s="45">
        <v>0</v>
      </c>
      <c r="D139" s="45">
        <v>11016.716100000001</v>
      </c>
      <c r="E139" s="45">
        <v>13914.859341249388</v>
      </c>
      <c r="F139" s="45">
        <v>7101.8243400000001</v>
      </c>
      <c r="G139" s="45">
        <v>5499.0745126794518</v>
      </c>
      <c r="H139" s="46">
        <v>0.26306779760344257</v>
      </c>
      <c r="I139" s="46">
        <v>-0.22568142361580124</v>
      </c>
      <c r="J139" s="46">
        <v>7.1495461691220008E-2</v>
      </c>
    </row>
    <row r="140" spans="1:10" ht="11.25" customHeight="1" x14ac:dyDescent="0.2">
      <c r="A140" s="55">
        <v>44531</v>
      </c>
      <c r="B140" s="45">
        <v>0</v>
      </c>
      <c r="C140" s="45">
        <v>0</v>
      </c>
      <c r="D140" s="45">
        <v>11852.6103</v>
      </c>
      <c r="E140" s="45">
        <v>14970.650387472879</v>
      </c>
      <c r="F140" s="45">
        <v>7640.6758199999995</v>
      </c>
      <c r="G140" s="45">
        <v>5916.3172235555703</v>
      </c>
      <c r="H140" s="46">
        <v>0.26306779760344257</v>
      </c>
      <c r="I140" s="46">
        <v>-0.22568142361580124</v>
      </c>
      <c r="J140" s="46">
        <v>7.1495461691219786E-2</v>
      </c>
    </row>
    <row r="141" spans="1:10" ht="11.25" customHeight="1" x14ac:dyDescent="0.2">
      <c r="A141" s="55">
        <v>44562</v>
      </c>
      <c r="B141" s="45">
        <v>0</v>
      </c>
      <c r="C141" s="45">
        <v>0</v>
      </c>
      <c r="D141" s="45">
        <v>10249.71005</v>
      </c>
      <c r="E141" s="45">
        <v>12946.078698927371</v>
      </c>
      <c r="F141" s="45">
        <v>6607.3809700000002</v>
      </c>
      <c r="G141" s="45">
        <v>5116.217826318446</v>
      </c>
      <c r="H141" s="46">
        <v>0.26306779760344257</v>
      </c>
      <c r="I141" s="46">
        <v>-0.22568142361580135</v>
      </c>
      <c r="J141" s="46">
        <v>7.1495461691219786E-2</v>
      </c>
    </row>
    <row r="142" spans="1:10" ht="11.25" customHeight="1" x14ac:dyDescent="0.2">
      <c r="A142" s="55">
        <v>44593</v>
      </c>
      <c r="B142" s="45">
        <v>0</v>
      </c>
      <c r="C142" s="45">
        <v>0</v>
      </c>
      <c r="D142" s="45">
        <v>10422.5077</v>
      </c>
      <c r="E142" s="45">
        <v>13164.333846143923</v>
      </c>
      <c r="F142" s="45">
        <v>6718.7733800000005</v>
      </c>
      <c r="G142" s="45">
        <v>5202.4710386496517</v>
      </c>
      <c r="H142" s="46">
        <v>0.26306779760344279</v>
      </c>
      <c r="I142" s="46">
        <v>-0.22568142361580124</v>
      </c>
      <c r="J142" s="46">
        <v>7.1495461691220008E-2</v>
      </c>
    </row>
    <row r="143" spans="1:10" ht="11.25" customHeight="1" x14ac:dyDescent="0.2">
      <c r="A143" s="55">
        <v>44621</v>
      </c>
      <c r="B143" s="45">
        <v>0</v>
      </c>
      <c r="C143" s="45">
        <v>0</v>
      </c>
      <c r="D143" s="45">
        <v>12838.596000000001</v>
      </c>
      <c r="E143" s="45">
        <v>16216.017174040368</v>
      </c>
      <c r="F143" s="45">
        <v>8276.2824000000001</v>
      </c>
      <c r="G143" s="45">
        <v>6408.4792057216</v>
      </c>
      <c r="H143" s="46">
        <v>0.26306779760344234</v>
      </c>
      <c r="I143" s="46">
        <v>-0.22568142361580124</v>
      </c>
      <c r="J143" s="46">
        <v>7.1495461691219786E-2</v>
      </c>
    </row>
    <row r="144" spans="1:10" ht="11.25" customHeight="1" x14ac:dyDescent="0.2">
      <c r="A144" s="55">
        <v>44652</v>
      </c>
      <c r="B144" s="45">
        <v>0</v>
      </c>
      <c r="C144" s="45">
        <v>0</v>
      </c>
      <c r="D144" s="45">
        <v>13269.627999999999</v>
      </c>
      <c r="E144" s="45">
        <v>16760.439812976972</v>
      </c>
      <c r="F144" s="45">
        <v>8554.1431999999986</v>
      </c>
      <c r="G144" s="45">
        <v>6623.6319848105741</v>
      </c>
      <c r="H144" s="46">
        <v>0.26306779760344257</v>
      </c>
      <c r="I144" s="46">
        <v>-0.22568142361580112</v>
      </c>
      <c r="J144" s="46">
        <v>7.1495461691220008E-2</v>
      </c>
    </row>
    <row r="145" spans="1:10" ht="11.25" customHeight="1" x14ac:dyDescent="0.2">
      <c r="A145" s="55">
        <v>44682</v>
      </c>
      <c r="B145" s="45">
        <v>0</v>
      </c>
      <c r="C145" s="45">
        <v>0</v>
      </c>
      <c r="D145" s="45">
        <v>11053.661700000001</v>
      </c>
      <c r="E145" s="45">
        <v>13961.524138872526</v>
      </c>
      <c r="F145" s="45">
        <v>7125.6409800000001</v>
      </c>
      <c r="G145" s="45">
        <v>5517.5161794585074</v>
      </c>
      <c r="H145" s="46">
        <v>0.26306779760344257</v>
      </c>
      <c r="I145" s="46">
        <v>-0.22568142361580124</v>
      </c>
      <c r="J145" s="46">
        <v>7.1495461691220008E-2</v>
      </c>
    </row>
    <row r="146" spans="1:10" ht="11.25" customHeight="1" x14ac:dyDescent="0.2">
      <c r="A146" s="55">
        <v>44713</v>
      </c>
      <c r="B146" s="45">
        <v>0</v>
      </c>
      <c r="C146" s="45">
        <v>0</v>
      </c>
      <c r="D146" s="45">
        <v>10938.591549999999</v>
      </c>
      <c r="E146" s="45">
        <v>13816.182737942127</v>
      </c>
      <c r="F146" s="45">
        <v>7051.4620699999996</v>
      </c>
      <c r="G146" s="45">
        <v>5460.0780714695748</v>
      </c>
      <c r="H146" s="46">
        <v>0.26306779760344257</v>
      </c>
      <c r="I146" s="46">
        <v>-0.22568142361580124</v>
      </c>
      <c r="J146" s="46">
        <v>7.1495461691220008E-2</v>
      </c>
    </row>
    <row r="147" spans="1:10" ht="11.25" customHeight="1" x14ac:dyDescent="0.2">
      <c r="A147" s="55">
        <v>44743</v>
      </c>
      <c r="B147" s="45">
        <v>0</v>
      </c>
      <c r="C147" s="45">
        <v>0</v>
      </c>
      <c r="D147" s="45">
        <v>12127.00835</v>
      </c>
      <c r="E147" s="45">
        <v>15317.233728153058</v>
      </c>
      <c r="F147" s="45">
        <v>7817.5639899999996</v>
      </c>
      <c r="G147" s="45">
        <v>6053.2850195291767</v>
      </c>
      <c r="H147" s="46">
        <v>0.26306779760344257</v>
      </c>
      <c r="I147" s="46">
        <v>-0.22568142361580124</v>
      </c>
      <c r="J147" s="46">
        <v>7.1495461691220008E-2</v>
      </c>
    </row>
    <row r="148" spans="1:10" ht="11.25" customHeight="1" x14ac:dyDescent="0.2">
      <c r="A148" s="55">
        <v>44774</v>
      </c>
      <c r="B148" s="45">
        <v>0</v>
      </c>
      <c r="C148" s="45">
        <v>0</v>
      </c>
      <c r="D148" s="45">
        <v>10676.5087</v>
      </c>
      <c r="E148" s="45">
        <v>13485.154329802996</v>
      </c>
      <c r="F148" s="45">
        <v>6882.51278</v>
      </c>
      <c r="G148" s="45">
        <v>5329.2574977556542</v>
      </c>
      <c r="H148" s="46">
        <v>0.26306779760344279</v>
      </c>
      <c r="I148" s="46">
        <v>-0.22568142361580124</v>
      </c>
      <c r="J148" s="46">
        <v>7.149546169122023E-2</v>
      </c>
    </row>
    <row r="149" spans="1:10" ht="11.25" customHeight="1" x14ac:dyDescent="0.2">
      <c r="A149" s="55">
        <v>44805</v>
      </c>
      <c r="B149" s="45">
        <v>0</v>
      </c>
      <c r="C149" s="45">
        <v>0</v>
      </c>
      <c r="D149" s="45">
        <v>12178.57825</v>
      </c>
      <c r="E149" s="45">
        <v>15382.370008168689</v>
      </c>
      <c r="F149" s="45">
        <v>7850.8080499999996</v>
      </c>
      <c r="G149" s="45">
        <v>6079.0265127416078</v>
      </c>
      <c r="H149" s="46">
        <v>0.26306779760344257</v>
      </c>
      <c r="I149" s="46">
        <v>-0.22568142361580112</v>
      </c>
      <c r="J149" s="46">
        <v>7.1495461691220008E-2</v>
      </c>
    </row>
    <row r="150" spans="1:10" ht="11.25" customHeight="1" x14ac:dyDescent="0.2">
      <c r="A150" s="55">
        <v>44835</v>
      </c>
      <c r="B150" s="45">
        <v>0</v>
      </c>
      <c r="C150" s="45">
        <v>0</v>
      </c>
      <c r="D150" s="45">
        <v>11396.1782</v>
      </c>
      <c r="E150" s="45">
        <v>14394.145700170364</v>
      </c>
      <c r="F150" s="45">
        <v>7346.4410799999996</v>
      </c>
      <c r="G150" s="45">
        <v>5688.4857985559956</v>
      </c>
      <c r="H150" s="46">
        <v>0.26306779760344257</v>
      </c>
      <c r="I150" s="46">
        <v>-0.22568142361580124</v>
      </c>
      <c r="J150" s="46">
        <v>7.1495461691220008E-2</v>
      </c>
    </row>
    <row r="151" spans="1:10" ht="11.25" customHeight="1" x14ac:dyDescent="0.2">
      <c r="A151" s="50" t="s">
        <v>37</v>
      </c>
      <c r="B151" s="45">
        <v>0</v>
      </c>
      <c r="C151" s="45">
        <v>0</v>
      </c>
      <c r="D151" s="45">
        <v>4102.7088190000004</v>
      </c>
      <c r="E151" s="45">
        <v>5181.9993922225513</v>
      </c>
      <c r="F151" s="45">
        <v>2644.7733685999997</v>
      </c>
      <c r="G151" s="45">
        <v>2047.8971496331937</v>
      </c>
      <c r="H151" s="46">
        <v>0.26306779760344257</v>
      </c>
      <c r="I151" s="46">
        <v>-0.22568142361580112</v>
      </c>
      <c r="J151" s="46">
        <v>7.1495461691220008E-2</v>
      </c>
    </row>
    <row r="152" spans="1:10" ht="11.25" customHeight="1" x14ac:dyDescent="0.2">
      <c r="A152" s="51" t="s">
        <v>38</v>
      </c>
      <c r="B152" s="45">
        <v>0</v>
      </c>
      <c r="C152" s="45">
        <v>0</v>
      </c>
      <c r="D152" s="45">
        <v>4102.7088190000004</v>
      </c>
      <c r="E152" s="45">
        <v>5181.9993922225513</v>
      </c>
      <c r="F152" s="45">
        <v>2644.7733685999997</v>
      </c>
      <c r="G152" s="45">
        <v>2047.8971496331937</v>
      </c>
      <c r="H152" s="46">
        <v>0.26306779760344257</v>
      </c>
      <c r="I152" s="46">
        <v>-0.22568142361580112</v>
      </c>
      <c r="J152" s="46">
        <v>7.1495461691220008E-2</v>
      </c>
    </row>
    <row r="153" spans="1:10" ht="11.25" customHeight="1" x14ac:dyDescent="0.2">
      <c r="A153" s="52" t="s">
        <v>25</v>
      </c>
      <c r="B153" s="45">
        <v>0</v>
      </c>
      <c r="C153" s="45">
        <v>0</v>
      </c>
      <c r="D153" s="45">
        <v>4102.7088190000004</v>
      </c>
      <c r="E153" s="45">
        <v>5181.9993922225513</v>
      </c>
      <c r="F153" s="45">
        <v>2644.7733685999997</v>
      </c>
      <c r="G153" s="45">
        <v>2047.8971496331937</v>
      </c>
      <c r="H153" s="46">
        <v>0.26306779760344257</v>
      </c>
      <c r="I153" s="46">
        <v>-0.22568142361580112</v>
      </c>
      <c r="J153" s="46">
        <v>7.1495461691220008E-2</v>
      </c>
    </row>
    <row r="154" spans="1:10" ht="11.25" customHeight="1" x14ac:dyDescent="0.2">
      <c r="A154" s="53" t="s">
        <v>25</v>
      </c>
      <c r="B154" s="45">
        <v>0</v>
      </c>
      <c r="C154" s="45">
        <v>0</v>
      </c>
      <c r="D154" s="45">
        <v>4102.7088190000004</v>
      </c>
      <c r="E154" s="45">
        <v>5181.9993922225513</v>
      </c>
      <c r="F154" s="45">
        <v>2644.7733685999997</v>
      </c>
      <c r="G154" s="45">
        <v>2047.8971496331937</v>
      </c>
      <c r="H154" s="46">
        <v>0.26306779760344257</v>
      </c>
      <c r="I154" s="46">
        <v>-0.22568142361580112</v>
      </c>
      <c r="J154" s="46">
        <v>7.1495461691220008E-2</v>
      </c>
    </row>
    <row r="155" spans="1:10" ht="11.25" customHeight="1" x14ac:dyDescent="0.2">
      <c r="A155" s="54" t="s">
        <v>25</v>
      </c>
      <c r="B155" s="45">
        <v>0</v>
      </c>
      <c r="C155" s="45">
        <v>0</v>
      </c>
      <c r="D155" s="45">
        <v>4102.7088190000004</v>
      </c>
      <c r="E155" s="45">
        <v>5181.9993922225513</v>
      </c>
      <c r="F155" s="45">
        <v>2644.7733685999997</v>
      </c>
      <c r="G155" s="45">
        <v>2047.8971496331937</v>
      </c>
      <c r="H155" s="46">
        <v>0.26306779760344257</v>
      </c>
      <c r="I155" s="46">
        <v>-0.22568142361580112</v>
      </c>
      <c r="J155" s="46">
        <v>7.1495461691220008E-2</v>
      </c>
    </row>
    <row r="156" spans="1:10" ht="11.25" customHeight="1" x14ac:dyDescent="0.2">
      <c r="A156" s="55">
        <v>44501</v>
      </c>
      <c r="B156" s="45">
        <v>0</v>
      </c>
      <c r="C156" s="45">
        <v>0</v>
      </c>
      <c r="D156" s="45">
        <v>350.18271199999998</v>
      </c>
      <c r="E156" s="45">
        <v>442.3045068046406</v>
      </c>
      <c r="F156" s="45">
        <v>225.74205279999998</v>
      </c>
      <c r="G156" s="45">
        <v>174.79626495414263</v>
      </c>
      <c r="H156" s="46">
        <v>0.26306779760344257</v>
      </c>
      <c r="I156" s="46">
        <v>-0.22568142361580124</v>
      </c>
      <c r="J156" s="46">
        <v>7.1495461691220008E-2</v>
      </c>
    </row>
    <row r="157" spans="1:10" ht="11.25" customHeight="1" x14ac:dyDescent="0.2">
      <c r="A157" s="55">
        <v>44531</v>
      </c>
      <c r="B157" s="45">
        <v>0</v>
      </c>
      <c r="C157" s="45">
        <v>0</v>
      </c>
      <c r="D157" s="45">
        <v>370.441216</v>
      </c>
      <c r="E157" s="45">
        <v>467.89237083466116</v>
      </c>
      <c r="F157" s="45">
        <v>238.80151039999998</v>
      </c>
      <c r="G157" s="45">
        <v>184.90844557132442</v>
      </c>
      <c r="H157" s="46">
        <v>0.26306779760344257</v>
      </c>
      <c r="I157" s="46">
        <v>-0.22568142361580124</v>
      </c>
      <c r="J157" s="46">
        <v>7.1495461691220008E-2</v>
      </c>
    </row>
    <row r="158" spans="1:10" ht="11.25" customHeight="1" x14ac:dyDescent="0.2">
      <c r="A158" s="55">
        <v>44562</v>
      </c>
      <c r="B158" s="45">
        <v>0</v>
      </c>
      <c r="C158" s="45">
        <v>0</v>
      </c>
      <c r="D158" s="45">
        <v>396.126105</v>
      </c>
      <c r="E158" s="45">
        <v>500.33412701558001</v>
      </c>
      <c r="F158" s="45">
        <v>255.35903699999997</v>
      </c>
      <c r="G158" s="45">
        <v>197.72924599667991</v>
      </c>
      <c r="H158" s="46">
        <v>0.26306779760344257</v>
      </c>
      <c r="I158" s="46">
        <v>-0.22568142361580124</v>
      </c>
      <c r="J158" s="46">
        <v>7.1495461691219786E-2</v>
      </c>
    </row>
    <row r="159" spans="1:10" ht="11.25" customHeight="1" x14ac:dyDescent="0.2">
      <c r="A159" s="55">
        <v>44593</v>
      </c>
      <c r="B159" s="45">
        <v>0</v>
      </c>
      <c r="C159" s="45">
        <v>0</v>
      </c>
      <c r="D159" s="45">
        <v>346.20336299999997</v>
      </c>
      <c r="E159" s="45">
        <v>437.27831922731514</v>
      </c>
      <c r="F159" s="45">
        <v>223.1768022</v>
      </c>
      <c r="G159" s="45">
        <v>172.80994376148192</v>
      </c>
      <c r="H159" s="46">
        <v>0.26306779760344257</v>
      </c>
      <c r="I159" s="46">
        <v>-0.22568142361580124</v>
      </c>
      <c r="J159" s="46">
        <v>7.1495461691220008E-2</v>
      </c>
    </row>
    <row r="160" spans="1:10" ht="11.25" customHeight="1" x14ac:dyDescent="0.2">
      <c r="A160" s="55">
        <v>44621</v>
      </c>
      <c r="B160" s="45">
        <v>0</v>
      </c>
      <c r="C160" s="45">
        <v>0</v>
      </c>
      <c r="D160" s="45">
        <v>365.01483099999996</v>
      </c>
      <c r="E160" s="45">
        <v>461.03847868376278</v>
      </c>
      <c r="F160" s="45">
        <v>235.30344139999997</v>
      </c>
      <c r="G160" s="45">
        <v>182.1998257631507</v>
      </c>
      <c r="H160" s="46">
        <v>0.26306779760344257</v>
      </c>
      <c r="I160" s="46">
        <v>-0.22568142361580135</v>
      </c>
      <c r="J160" s="46">
        <v>7.1495461691220008E-2</v>
      </c>
    </row>
    <row r="161" spans="1:10" ht="11.25" customHeight="1" x14ac:dyDescent="0.2">
      <c r="A161" s="55">
        <v>44652</v>
      </c>
      <c r="B161" s="45">
        <v>0</v>
      </c>
      <c r="C161" s="45">
        <v>0</v>
      </c>
      <c r="D161" s="45">
        <v>371.88825200000002</v>
      </c>
      <c r="E161" s="45">
        <v>469.72007540823404</v>
      </c>
      <c r="F161" s="45">
        <v>239.73432879999999</v>
      </c>
      <c r="G161" s="45">
        <v>185.6307441868374</v>
      </c>
      <c r="H161" s="46">
        <v>0.26306779760344257</v>
      </c>
      <c r="I161" s="46">
        <v>-0.22568142361580124</v>
      </c>
      <c r="J161" s="46">
        <v>7.1495461691219786E-2</v>
      </c>
    </row>
    <row r="162" spans="1:10" ht="11.25" customHeight="1" x14ac:dyDescent="0.2">
      <c r="A162" s="55">
        <v>44682</v>
      </c>
      <c r="B162" s="45">
        <v>0</v>
      </c>
      <c r="C162" s="45">
        <v>0</v>
      </c>
      <c r="D162" s="45">
        <v>420.36395799999997</v>
      </c>
      <c r="E162" s="45">
        <v>530.94817862292598</v>
      </c>
      <c r="F162" s="45">
        <v>270.98374519999999</v>
      </c>
      <c r="G162" s="45">
        <v>209.82774780652244</v>
      </c>
      <c r="H162" s="46">
        <v>0.26306779760344257</v>
      </c>
      <c r="I162" s="46">
        <v>-0.22568142361580124</v>
      </c>
      <c r="J162" s="46">
        <v>7.1495461691220008E-2</v>
      </c>
    </row>
    <row r="163" spans="1:10" ht="11.25" customHeight="1" x14ac:dyDescent="0.2">
      <c r="A163" s="55">
        <v>44713</v>
      </c>
      <c r="B163" s="45">
        <v>0</v>
      </c>
      <c r="C163" s="45">
        <v>0</v>
      </c>
      <c r="D163" s="45">
        <v>336.43587000000002</v>
      </c>
      <c r="E163" s="45">
        <v>424.94131335569813</v>
      </c>
      <c r="F163" s="45">
        <v>216.880278</v>
      </c>
      <c r="G163" s="45">
        <v>167.93442810676925</v>
      </c>
      <c r="H163" s="46">
        <v>0.26306779760344257</v>
      </c>
      <c r="I163" s="46">
        <v>-0.22568142361580135</v>
      </c>
      <c r="J163" s="46">
        <v>7.1495461691220008E-2</v>
      </c>
    </row>
    <row r="164" spans="1:10" ht="11.25" customHeight="1" x14ac:dyDescent="0.2">
      <c r="A164" s="55">
        <v>44743</v>
      </c>
      <c r="B164" s="45">
        <v>0</v>
      </c>
      <c r="C164" s="45">
        <v>0</v>
      </c>
      <c r="D164" s="45">
        <v>270.957491</v>
      </c>
      <c r="E164" s="45">
        <v>342.23768140152458</v>
      </c>
      <c r="F164" s="45">
        <v>174.67024539999997</v>
      </c>
      <c r="G164" s="45">
        <v>135.25041575480662</v>
      </c>
      <c r="H164" s="46">
        <v>0.26306779760344234</v>
      </c>
      <c r="I164" s="46">
        <v>-0.22568142361580124</v>
      </c>
      <c r="J164" s="46">
        <v>7.1495461691219786E-2</v>
      </c>
    </row>
    <row r="165" spans="1:10" ht="11.25" customHeight="1" x14ac:dyDescent="0.2">
      <c r="A165" s="55">
        <v>44774</v>
      </c>
      <c r="B165" s="45">
        <v>0</v>
      </c>
      <c r="C165" s="45">
        <v>0</v>
      </c>
      <c r="D165" s="45">
        <v>279.27794800000004</v>
      </c>
      <c r="E165" s="45">
        <v>352.74698269956878</v>
      </c>
      <c r="F165" s="45">
        <v>180.03395119999999</v>
      </c>
      <c r="G165" s="45">
        <v>139.40363279400631</v>
      </c>
      <c r="H165" s="46">
        <v>0.26306779760344257</v>
      </c>
      <c r="I165" s="46">
        <v>-0.22568142361580124</v>
      </c>
      <c r="J165" s="46">
        <v>7.1495461691219786E-2</v>
      </c>
    </row>
    <row r="166" spans="1:10" ht="11.25" customHeight="1" x14ac:dyDescent="0.2">
      <c r="A166" s="55">
        <v>44805</v>
      </c>
      <c r="B166" s="45">
        <v>0</v>
      </c>
      <c r="C166" s="45">
        <v>0</v>
      </c>
      <c r="D166" s="45">
        <v>301.34524699999997</v>
      </c>
      <c r="E166" s="45">
        <v>380.61947744655538</v>
      </c>
      <c r="F166" s="45">
        <v>194.25943179999999</v>
      </c>
      <c r="G166" s="45">
        <v>150.41868668057933</v>
      </c>
      <c r="H166" s="46">
        <v>0.26306779760344257</v>
      </c>
      <c r="I166" s="46">
        <v>-0.22568142361580135</v>
      </c>
      <c r="J166" s="46">
        <v>7.1495461691219786E-2</v>
      </c>
    </row>
    <row r="167" spans="1:10" ht="11.25" customHeight="1" x14ac:dyDescent="0.2">
      <c r="A167" s="55">
        <v>44835</v>
      </c>
      <c r="B167" s="45">
        <v>0</v>
      </c>
      <c r="C167" s="45">
        <v>0</v>
      </c>
      <c r="D167" s="45">
        <v>294.47182600000002</v>
      </c>
      <c r="E167" s="45">
        <v>371.93788072208417</v>
      </c>
      <c r="F167" s="45">
        <v>189.8285444</v>
      </c>
      <c r="G167" s="45">
        <v>146.98776825689265</v>
      </c>
      <c r="H167" s="46">
        <v>0.26306779760344257</v>
      </c>
      <c r="I167" s="46">
        <v>-0.22568142361580135</v>
      </c>
      <c r="J167" s="46">
        <v>7.1495461691219786E-2</v>
      </c>
    </row>
    <row r="168" spans="1:10" ht="11.25" customHeight="1" x14ac:dyDescent="0.2">
      <c r="A168" s="48" t="s">
        <v>34</v>
      </c>
      <c r="B168" s="45">
        <v>0</v>
      </c>
      <c r="C168" s="45">
        <v>0</v>
      </c>
      <c r="D168" s="45">
        <v>58066.372749999995</v>
      </c>
      <c r="E168" s="45">
        <v>73340.899316479132</v>
      </c>
      <c r="F168" s="45">
        <v>37431.646249999998</v>
      </c>
      <c r="G168" s="45">
        <v>28983.912828545203</v>
      </c>
      <c r="H168" s="46">
        <v>0.26305287971477664</v>
      </c>
      <c r="I168" s="46">
        <v>-0.22568426098691285</v>
      </c>
      <c r="J168" s="46">
        <v>7.148622784546288E-2</v>
      </c>
    </row>
    <row r="169" spans="1:10" ht="11.25" customHeight="1" x14ac:dyDescent="0.2">
      <c r="A169" s="49" t="s">
        <v>23</v>
      </c>
      <c r="B169" s="45">
        <v>0</v>
      </c>
      <c r="C169" s="45">
        <v>0</v>
      </c>
      <c r="D169" s="45">
        <v>58066.372749999995</v>
      </c>
      <c r="E169" s="45">
        <v>73340.899316479132</v>
      </c>
      <c r="F169" s="45">
        <v>37431.646249999998</v>
      </c>
      <c r="G169" s="45">
        <v>28983.912828545203</v>
      </c>
      <c r="H169" s="46">
        <v>0.26305287971477664</v>
      </c>
      <c r="I169" s="46">
        <v>-0.22568426098691285</v>
      </c>
      <c r="J169" s="46">
        <v>7.148622784546288E-2</v>
      </c>
    </row>
    <row r="170" spans="1:10" ht="11.25" customHeight="1" x14ac:dyDescent="0.2">
      <c r="A170" s="50" t="s">
        <v>35</v>
      </c>
      <c r="B170" s="45">
        <v>0</v>
      </c>
      <c r="C170" s="45">
        <v>0</v>
      </c>
      <c r="D170" s="45">
        <v>58066.372749999995</v>
      </c>
      <c r="E170" s="45">
        <v>73340.899316479132</v>
      </c>
      <c r="F170" s="45">
        <v>37431.646249999998</v>
      </c>
      <c r="G170" s="45">
        <v>28983.912828545203</v>
      </c>
      <c r="H170" s="46">
        <v>0.26305287971477664</v>
      </c>
      <c r="I170" s="46">
        <v>-0.22568426098691285</v>
      </c>
      <c r="J170" s="46">
        <v>7.148622784546288E-2</v>
      </c>
    </row>
    <row r="171" spans="1:10" ht="11.25" customHeight="1" x14ac:dyDescent="0.2">
      <c r="A171" s="51" t="s">
        <v>36</v>
      </c>
      <c r="B171" s="45">
        <v>0</v>
      </c>
      <c r="C171" s="45">
        <v>0</v>
      </c>
      <c r="D171" s="45">
        <v>58066.372749999995</v>
      </c>
      <c r="E171" s="45">
        <v>73340.899316479132</v>
      </c>
      <c r="F171" s="45">
        <v>37431.646249999998</v>
      </c>
      <c r="G171" s="45">
        <v>28983.912828545203</v>
      </c>
      <c r="H171" s="46">
        <v>0.26305287971477664</v>
      </c>
      <c r="I171" s="46">
        <v>-0.22568426098691285</v>
      </c>
      <c r="J171" s="46">
        <v>7.148622784546288E-2</v>
      </c>
    </row>
    <row r="172" spans="1:10" ht="11.25" customHeight="1" x14ac:dyDescent="0.2">
      <c r="A172" s="52" t="s">
        <v>25</v>
      </c>
      <c r="B172" s="45">
        <v>0</v>
      </c>
      <c r="C172" s="45">
        <v>0</v>
      </c>
      <c r="D172" s="45">
        <v>58066.372749999995</v>
      </c>
      <c r="E172" s="45">
        <v>73340.899316479132</v>
      </c>
      <c r="F172" s="45">
        <v>37431.646249999998</v>
      </c>
      <c r="G172" s="45">
        <v>28983.912828545203</v>
      </c>
      <c r="H172" s="46">
        <v>0.26305287971477664</v>
      </c>
      <c r="I172" s="46">
        <v>-0.22568426098691285</v>
      </c>
      <c r="J172" s="46">
        <v>7.148622784546288E-2</v>
      </c>
    </row>
    <row r="173" spans="1:10" ht="11.25" customHeight="1" x14ac:dyDescent="0.2">
      <c r="A173" s="53" t="s">
        <v>25</v>
      </c>
      <c r="B173" s="45">
        <v>0</v>
      </c>
      <c r="C173" s="45">
        <v>0</v>
      </c>
      <c r="D173" s="45">
        <v>58066.372749999995</v>
      </c>
      <c r="E173" s="45">
        <v>73340.899316479132</v>
      </c>
      <c r="F173" s="45">
        <v>37431.646249999998</v>
      </c>
      <c r="G173" s="45">
        <v>28983.912828545203</v>
      </c>
      <c r="H173" s="46">
        <v>0.26305287971477664</v>
      </c>
      <c r="I173" s="46">
        <v>-0.22568426098691285</v>
      </c>
      <c r="J173" s="46">
        <v>7.148622784546288E-2</v>
      </c>
    </row>
    <row r="174" spans="1:10" ht="11.25" customHeight="1" x14ac:dyDescent="0.2">
      <c r="A174" s="54" t="s">
        <v>25</v>
      </c>
      <c r="B174" s="45">
        <v>0</v>
      </c>
      <c r="C174" s="45">
        <v>0</v>
      </c>
      <c r="D174" s="45">
        <v>58066.372749999995</v>
      </c>
      <c r="E174" s="45">
        <v>73340.899316479132</v>
      </c>
      <c r="F174" s="45">
        <v>37431.646249999998</v>
      </c>
      <c r="G174" s="45">
        <v>28983.912828545203</v>
      </c>
      <c r="H174" s="46">
        <v>0.26305287971477664</v>
      </c>
      <c r="I174" s="46">
        <v>-0.22568426098691285</v>
      </c>
      <c r="J174" s="46">
        <v>7.148622784546288E-2</v>
      </c>
    </row>
    <row r="175" spans="1:10" ht="11.25" customHeight="1" x14ac:dyDescent="0.2">
      <c r="A175" s="55">
        <v>44501</v>
      </c>
      <c r="B175" s="45">
        <v>0</v>
      </c>
      <c r="C175" s="45">
        <v>0</v>
      </c>
      <c r="D175" s="45">
        <v>3918.4350399999998</v>
      </c>
      <c r="E175" s="45">
        <v>4949.1906612472858</v>
      </c>
      <c r="F175" s="45">
        <v>2525.9623999999999</v>
      </c>
      <c r="G175" s="45">
        <v>1955.8924424752713</v>
      </c>
      <c r="H175" s="46">
        <v>0.26305287971477664</v>
      </c>
      <c r="I175" s="46">
        <v>-0.22568426098691274</v>
      </c>
      <c r="J175" s="46">
        <v>7.148622784546288E-2</v>
      </c>
    </row>
    <row r="176" spans="1:10" ht="11.25" customHeight="1" x14ac:dyDescent="0.2">
      <c r="A176" s="55">
        <v>44531</v>
      </c>
      <c r="B176" s="45">
        <v>0</v>
      </c>
      <c r="C176" s="45">
        <v>0</v>
      </c>
      <c r="D176" s="45">
        <v>4108.7263700000003</v>
      </c>
      <c r="E176" s="45">
        <v>5189.5386735885413</v>
      </c>
      <c r="F176" s="45">
        <v>2648.6309499999998</v>
      </c>
      <c r="G176" s="45">
        <v>2050.8766314221853</v>
      </c>
      <c r="H176" s="46">
        <v>0.26305287971477664</v>
      </c>
      <c r="I176" s="46">
        <v>-0.22568426098691274</v>
      </c>
      <c r="J176" s="46">
        <v>7.148622784546288E-2</v>
      </c>
    </row>
    <row r="177" spans="1:10" ht="11.25" customHeight="1" x14ac:dyDescent="0.2">
      <c r="A177" s="55">
        <v>44562</v>
      </c>
      <c r="B177" s="45">
        <v>0</v>
      </c>
      <c r="C177" s="45">
        <v>0</v>
      </c>
      <c r="D177" s="45">
        <v>4089.2527299999997</v>
      </c>
      <c r="E177" s="45">
        <v>5164.9424365080113</v>
      </c>
      <c r="F177" s="45">
        <v>2636.0775499999995</v>
      </c>
      <c r="G177" s="45">
        <v>2041.1563362240581</v>
      </c>
      <c r="H177" s="46">
        <v>0.26305287971477664</v>
      </c>
      <c r="I177" s="46">
        <v>-0.22568426098691274</v>
      </c>
      <c r="J177" s="46">
        <v>7.148622784546288E-2</v>
      </c>
    </row>
    <row r="178" spans="1:10" ht="11.25" customHeight="1" x14ac:dyDescent="0.2">
      <c r="A178" s="55">
        <v>44593</v>
      </c>
      <c r="B178" s="45">
        <v>0</v>
      </c>
      <c r="C178" s="45">
        <v>0</v>
      </c>
      <c r="D178" s="45">
        <v>3816.1984299999999</v>
      </c>
      <c r="E178" s="45">
        <v>4820.0604165745099</v>
      </c>
      <c r="F178" s="45">
        <v>2460.0570499999999</v>
      </c>
      <c r="G178" s="45">
        <v>1904.860892685105</v>
      </c>
      <c r="H178" s="46">
        <v>0.26305287971477687</v>
      </c>
      <c r="I178" s="46">
        <v>-0.22568426098691285</v>
      </c>
      <c r="J178" s="46">
        <v>7.148622784546288E-2</v>
      </c>
    </row>
    <row r="179" spans="1:10" ht="11.25" customHeight="1" x14ac:dyDescent="0.2">
      <c r="A179" s="55">
        <v>44621</v>
      </c>
      <c r="B179" s="45">
        <v>0</v>
      </c>
      <c r="C179" s="45">
        <v>0</v>
      </c>
      <c r="D179" s="45">
        <v>4217.1014099999993</v>
      </c>
      <c r="E179" s="45">
        <v>5326.4220799497443</v>
      </c>
      <c r="F179" s="45">
        <v>2718.4933499999997</v>
      </c>
      <c r="G179" s="45">
        <v>2104.9721873074127</v>
      </c>
      <c r="H179" s="46">
        <v>0.26305287971477664</v>
      </c>
      <c r="I179" s="46">
        <v>-0.22568426098691285</v>
      </c>
      <c r="J179" s="46">
        <v>7.148622784546288E-2</v>
      </c>
    </row>
    <row r="180" spans="1:10" ht="11.25" customHeight="1" x14ac:dyDescent="0.2">
      <c r="A180" s="55">
        <v>44652</v>
      </c>
      <c r="B180" s="45">
        <v>0</v>
      </c>
      <c r="C180" s="45">
        <v>0</v>
      </c>
      <c r="D180" s="45">
        <v>4871.1617100000003</v>
      </c>
      <c r="E180" s="45">
        <v>6152.5348253718557</v>
      </c>
      <c r="F180" s="45">
        <v>3140.1238499999999</v>
      </c>
      <c r="G180" s="45">
        <v>2431.4473195053706</v>
      </c>
      <c r="H180" s="46">
        <v>0.26305287971477664</v>
      </c>
      <c r="I180" s="46">
        <v>-0.22568426098691274</v>
      </c>
      <c r="J180" s="46">
        <v>7.148622784546288E-2</v>
      </c>
    </row>
    <row r="181" spans="1:10" ht="11.25" customHeight="1" x14ac:dyDescent="0.2">
      <c r="A181" s="55">
        <v>44682</v>
      </c>
      <c r="B181" s="45">
        <v>0</v>
      </c>
      <c r="C181" s="45">
        <v>0</v>
      </c>
      <c r="D181" s="45">
        <v>4883.4385700000003</v>
      </c>
      <c r="E181" s="45">
        <v>6168.0411487487108</v>
      </c>
      <c r="F181" s="45">
        <v>3148.0379499999999</v>
      </c>
      <c r="G181" s="45">
        <v>2437.5753316954942</v>
      </c>
      <c r="H181" s="46">
        <v>0.26305287971477664</v>
      </c>
      <c r="I181" s="46">
        <v>-0.22568426098691274</v>
      </c>
      <c r="J181" s="46">
        <v>7.148622784546288E-2</v>
      </c>
    </row>
    <row r="182" spans="1:10" ht="11.25" customHeight="1" x14ac:dyDescent="0.2">
      <c r="A182" s="55">
        <v>44713</v>
      </c>
      <c r="B182" s="45">
        <v>0</v>
      </c>
      <c r="C182" s="45">
        <v>0</v>
      </c>
      <c r="D182" s="45">
        <v>6121.2847299999994</v>
      </c>
      <c r="E182" s="45">
        <v>7731.5063057805892</v>
      </c>
      <c r="F182" s="45">
        <v>3945.9975499999996</v>
      </c>
      <c r="G182" s="45">
        <v>3055.4480090720813</v>
      </c>
      <c r="H182" s="46">
        <v>0.26305287971477687</v>
      </c>
      <c r="I182" s="46">
        <v>-0.22568426098691274</v>
      </c>
      <c r="J182" s="46">
        <v>7.148622784546288E-2</v>
      </c>
    </row>
    <row r="183" spans="1:10" ht="11.25" customHeight="1" x14ac:dyDescent="0.2">
      <c r="A183" s="55">
        <v>44743</v>
      </c>
      <c r="B183" s="45">
        <v>0</v>
      </c>
      <c r="C183" s="45">
        <v>0</v>
      </c>
      <c r="D183" s="45">
        <v>5806.5314399999997</v>
      </c>
      <c r="E183" s="45">
        <v>7333.9562564463886</v>
      </c>
      <c r="F183" s="45">
        <v>3743.0963999999994</v>
      </c>
      <c r="G183" s="45">
        <v>2898.3384551632257</v>
      </c>
      <c r="H183" s="46">
        <v>0.26305287971477664</v>
      </c>
      <c r="I183" s="46">
        <v>-0.22568426098691285</v>
      </c>
      <c r="J183" s="46">
        <v>7.148622784546288E-2</v>
      </c>
    </row>
    <row r="184" spans="1:10" ht="11.25" customHeight="1" x14ac:dyDescent="0.2">
      <c r="A184" s="55">
        <v>44774</v>
      </c>
      <c r="B184" s="45">
        <v>0</v>
      </c>
      <c r="C184" s="45">
        <v>0</v>
      </c>
      <c r="D184" s="45">
        <v>5833.8368700000001</v>
      </c>
      <c r="E184" s="45">
        <v>7368.4444584397388</v>
      </c>
      <c r="F184" s="45">
        <v>3760.6984499999999</v>
      </c>
      <c r="G184" s="45">
        <v>2911.9679995171214</v>
      </c>
      <c r="H184" s="46">
        <v>0.26305287971477664</v>
      </c>
      <c r="I184" s="46">
        <v>-0.22568426098691285</v>
      </c>
      <c r="J184" s="46">
        <v>7.148622784546288E-2</v>
      </c>
    </row>
    <row r="185" spans="1:10" ht="11.25" customHeight="1" x14ac:dyDescent="0.2">
      <c r="A185" s="55">
        <v>44805</v>
      </c>
      <c r="B185" s="45">
        <v>0</v>
      </c>
      <c r="C185" s="45">
        <v>0</v>
      </c>
      <c r="D185" s="45">
        <v>5368.7978800000001</v>
      </c>
      <c r="E185" s="45">
        <v>6781.0756229405879</v>
      </c>
      <c r="F185" s="45">
        <v>3460.9177999999997</v>
      </c>
      <c r="G185" s="45">
        <v>2679.8431239705478</v>
      </c>
      <c r="H185" s="46">
        <v>0.26305287971477664</v>
      </c>
      <c r="I185" s="46">
        <v>-0.22568426098691274</v>
      </c>
      <c r="J185" s="46">
        <v>7.148622784546288E-2</v>
      </c>
    </row>
    <row r="186" spans="1:10" ht="11.25" customHeight="1" x14ac:dyDescent="0.2">
      <c r="A186" s="55">
        <v>44835</v>
      </c>
      <c r="B186" s="45">
        <v>0</v>
      </c>
      <c r="C186" s="45">
        <v>0</v>
      </c>
      <c r="D186" s="45">
        <v>5031.6075700000001</v>
      </c>
      <c r="E186" s="45">
        <v>6355.18643088317</v>
      </c>
      <c r="F186" s="45">
        <v>3243.5529499999998</v>
      </c>
      <c r="G186" s="45">
        <v>2511.5340995073288</v>
      </c>
      <c r="H186" s="46">
        <v>0.26305287971477664</v>
      </c>
      <c r="I186" s="46">
        <v>-0.22568426098691285</v>
      </c>
      <c r="J186" s="46">
        <v>7.148622784546288E-2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3641-6ED9-444A-8A64-44226F085053}">
  <sheetPr codeName="Planilha19"/>
  <dimension ref="A1:G111"/>
  <sheetViews>
    <sheetView showGridLines="0" workbookViewId="0"/>
  </sheetViews>
  <sheetFormatPr defaultColWidth="9.140625" defaultRowHeight="11.25" customHeight="1" x14ac:dyDescent="0.2"/>
  <cols>
    <col min="1" max="1" width="34.7109375" style="14" bestFit="1" customWidth="1"/>
    <col min="2" max="2" width="20.42578125" style="45" bestFit="1" customWidth="1"/>
    <col min="3" max="3" width="21.85546875" style="45" bestFit="1" customWidth="1"/>
    <col min="4" max="4" width="20.28515625" style="45" bestFit="1" customWidth="1"/>
    <col min="5" max="5" width="21.7109375" style="45" bestFit="1" customWidth="1"/>
    <col min="6" max="6" width="14.85546875" style="45" bestFit="1" customWidth="1"/>
    <col min="7" max="7" width="14.7109375" style="45" bestFit="1" customWidth="1"/>
    <col min="8" max="16384" width="9.140625" style="14"/>
  </cols>
  <sheetData>
    <row r="1" spans="1:7" ht="11.25" customHeight="1" x14ac:dyDescent="0.2">
      <c r="A1" s="44" t="s">
        <v>449</v>
      </c>
      <c r="B1" s="45" t="s">
        <v>475</v>
      </c>
      <c r="C1" s="45" t="s">
        <v>476</v>
      </c>
      <c r="D1" s="45" t="s">
        <v>477</v>
      </c>
      <c r="E1" s="45" t="s">
        <v>478</v>
      </c>
      <c r="F1" s="45" t="s">
        <v>479</v>
      </c>
      <c r="G1" s="45" t="s">
        <v>480</v>
      </c>
    </row>
    <row r="2" spans="1:7" ht="11.25" customHeight="1" x14ac:dyDescent="0.2">
      <c r="A2" s="47" t="s">
        <v>466</v>
      </c>
      <c r="B2" s="45">
        <v>0</v>
      </c>
      <c r="C2" s="45">
        <v>430.69035240000028</v>
      </c>
      <c r="D2" s="45">
        <v>0</v>
      </c>
      <c r="E2" s="45">
        <v>461.48275799079249</v>
      </c>
      <c r="F2" s="45">
        <v>430.69035240000028</v>
      </c>
      <c r="G2" s="45">
        <v>461.48275799079249</v>
      </c>
    </row>
    <row r="3" spans="1:7" ht="11.25" customHeight="1" x14ac:dyDescent="0.2">
      <c r="A3" s="48" t="s">
        <v>28</v>
      </c>
      <c r="B3" s="45">
        <v>0</v>
      </c>
      <c r="C3" s="45">
        <v>430.69035240000028</v>
      </c>
      <c r="D3" s="45">
        <v>0</v>
      </c>
      <c r="E3" s="45">
        <v>461.48275799079249</v>
      </c>
      <c r="F3" s="45">
        <v>430.69035240000028</v>
      </c>
      <c r="G3" s="45">
        <v>461.48275799079249</v>
      </c>
    </row>
    <row r="4" spans="1:7" ht="11.25" customHeight="1" x14ac:dyDescent="0.2">
      <c r="A4" s="49" t="s">
        <v>23</v>
      </c>
      <c r="B4" s="45">
        <v>0</v>
      </c>
      <c r="C4" s="45">
        <v>430.69035240000028</v>
      </c>
      <c r="D4" s="45">
        <v>0</v>
      </c>
      <c r="E4" s="45">
        <v>461.48275799079249</v>
      </c>
      <c r="F4" s="45">
        <v>430.69035240000028</v>
      </c>
      <c r="G4" s="45">
        <v>461.48275799079249</v>
      </c>
    </row>
    <row r="5" spans="1:7" ht="11.25" customHeight="1" x14ac:dyDescent="0.2">
      <c r="A5" s="50" t="s">
        <v>37</v>
      </c>
      <c r="B5" s="45">
        <v>0</v>
      </c>
      <c r="C5" s="45">
        <v>430.69035240000028</v>
      </c>
      <c r="D5" s="45">
        <v>0</v>
      </c>
      <c r="E5" s="45">
        <v>461.48275799079249</v>
      </c>
      <c r="F5" s="45">
        <v>430.69035240000028</v>
      </c>
      <c r="G5" s="45">
        <v>461.48275799079249</v>
      </c>
    </row>
    <row r="6" spans="1:7" ht="11.25" customHeight="1" x14ac:dyDescent="0.2">
      <c r="A6" s="51" t="s">
        <v>38</v>
      </c>
      <c r="B6" s="45">
        <v>0</v>
      </c>
      <c r="C6" s="45">
        <v>430.69035240000028</v>
      </c>
      <c r="D6" s="45">
        <v>0</v>
      </c>
      <c r="E6" s="45">
        <v>461.48275799079249</v>
      </c>
      <c r="F6" s="45">
        <v>430.69035240000028</v>
      </c>
      <c r="G6" s="45">
        <v>461.48275799079249</v>
      </c>
    </row>
    <row r="7" spans="1:7" ht="11.25" customHeight="1" x14ac:dyDescent="0.2">
      <c r="A7" s="52" t="s">
        <v>25</v>
      </c>
      <c r="B7" s="45">
        <v>0</v>
      </c>
      <c r="C7" s="45">
        <v>430.69035240000028</v>
      </c>
      <c r="D7" s="45">
        <v>0</v>
      </c>
      <c r="E7" s="45">
        <v>461.48275799079249</v>
      </c>
      <c r="F7" s="45">
        <v>430.69035240000028</v>
      </c>
      <c r="G7" s="45">
        <v>461.48275799079249</v>
      </c>
    </row>
    <row r="8" spans="1:7" ht="11.25" customHeight="1" x14ac:dyDescent="0.2">
      <c r="A8" s="53" t="s">
        <v>25</v>
      </c>
      <c r="B8" s="45">
        <v>0</v>
      </c>
      <c r="C8" s="45">
        <v>430.69035240000028</v>
      </c>
      <c r="D8" s="45">
        <v>0</v>
      </c>
      <c r="E8" s="45">
        <v>461.48275799079249</v>
      </c>
      <c r="F8" s="45">
        <v>430.69035240000028</v>
      </c>
      <c r="G8" s="45">
        <v>461.48275799079249</v>
      </c>
    </row>
    <row r="9" spans="1:7" ht="11.25" customHeight="1" x14ac:dyDescent="0.2">
      <c r="A9" s="54" t="s">
        <v>25</v>
      </c>
      <c r="B9" s="45">
        <v>0</v>
      </c>
      <c r="C9" s="45">
        <v>430.69035240000028</v>
      </c>
      <c r="D9" s="45">
        <v>0</v>
      </c>
      <c r="E9" s="45">
        <v>461.48275799079249</v>
      </c>
      <c r="F9" s="45">
        <v>430.69035240000028</v>
      </c>
      <c r="G9" s="45">
        <v>461.48275799079249</v>
      </c>
    </row>
    <row r="10" spans="1:7" ht="11.25" customHeight="1" x14ac:dyDescent="0.2">
      <c r="A10" s="55">
        <v>44501</v>
      </c>
      <c r="B10" s="45">
        <v>0</v>
      </c>
      <c r="C10" s="45">
        <v>36.761155200000012</v>
      </c>
      <c r="D10" s="45">
        <v>0</v>
      </c>
      <c r="E10" s="45">
        <v>39.389410963326604</v>
      </c>
      <c r="F10" s="45">
        <v>36.761155200000012</v>
      </c>
      <c r="G10" s="45">
        <v>39.389410963326604</v>
      </c>
    </row>
    <row r="11" spans="1:7" ht="11.25" customHeight="1" x14ac:dyDescent="0.2">
      <c r="A11" s="55">
        <v>44531</v>
      </c>
      <c r="B11" s="45">
        <v>0</v>
      </c>
      <c r="C11" s="45">
        <v>38.887833600000036</v>
      </c>
      <c r="D11" s="45">
        <v>0</v>
      </c>
      <c r="E11" s="45">
        <v>41.66813721740337</v>
      </c>
      <c r="F11" s="45">
        <v>38.887833600000036</v>
      </c>
      <c r="G11" s="45">
        <v>41.66813721740337</v>
      </c>
    </row>
    <row r="12" spans="1:7" ht="11.25" customHeight="1" x14ac:dyDescent="0.2">
      <c r="A12" s="55">
        <v>44562</v>
      </c>
      <c r="B12" s="45">
        <v>0</v>
      </c>
      <c r="C12" s="45">
        <v>41.584158000000059</v>
      </c>
      <c r="D12" s="45">
        <v>0</v>
      </c>
      <c r="E12" s="45">
        <v>44.557236575250698</v>
      </c>
      <c r="F12" s="45">
        <v>41.584158000000059</v>
      </c>
      <c r="G12" s="45">
        <v>44.557236575250698</v>
      </c>
    </row>
    <row r="13" spans="1:7" ht="11.25" customHeight="1" x14ac:dyDescent="0.2">
      <c r="A13" s="55">
        <v>44593</v>
      </c>
      <c r="B13" s="45">
        <v>0</v>
      </c>
      <c r="C13" s="45">
        <v>36.343414800000019</v>
      </c>
      <c r="D13" s="45">
        <v>0</v>
      </c>
      <c r="E13" s="45">
        <v>38.941804020561534</v>
      </c>
      <c r="F13" s="45">
        <v>36.343414800000019</v>
      </c>
      <c r="G13" s="45">
        <v>38.941804020561534</v>
      </c>
    </row>
    <row r="14" spans="1:7" ht="11.25" customHeight="1" x14ac:dyDescent="0.2">
      <c r="A14" s="55">
        <v>44621</v>
      </c>
      <c r="B14" s="45">
        <v>0</v>
      </c>
      <c r="C14" s="45">
        <v>38.318187600000023</v>
      </c>
      <c r="D14" s="45">
        <v>0</v>
      </c>
      <c r="E14" s="45">
        <v>41.057764113632807</v>
      </c>
      <c r="F14" s="45">
        <v>38.318187600000023</v>
      </c>
      <c r="G14" s="45">
        <v>41.057764113632807</v>
      </c>
    </row>
    <row r="15" spans="1:7" ht="11.25" customHeight="1" x14ac:dyDescent="0.2">
      <c r="A15" s="55">
        <v>44652</v>
      </c>
      <c r="B15" s="45">
        <v>0</v>
      </c>
      <c r="C15" s="45">
        <v>39.039739200000042</v>
      </c>
      <c r="D15" s="45">
        <v>0</v>
      </c>
      <c r="E15" s="45">
        <v>41.830903378408863</v>
      </c>
      <c r="F15" s="45">
        <v>39.039739200000042</v>
      </c>
      <c r="G15" s="45">
        <v>41.830903378408863</v>
      </c>
    </row>
    <row r="16" spans="1:7" ht="11.25" customHeight="1" x14ac:dyDescent="0.2">
      <c r="A16" s="55">
        <v>44682</v>
      </c>
      <c r="B16" s="45">
        <v>0</v>
      </c>
      <c r="C16" s="45">
        <v>44.128576800000005</v>
      </c>
      <c r="D16" s="45">
        <v>0</v>
      </c>
      <c r="E16" s="45">
        <v>47.283569772092463</v>
      </c>
      <c r="F16" s="45">
        <v>44.128576800000005</v>
      </c>
      <c r="G16" s="45">
        <v>47.283569772092463</v>
      </c>
    </row>
    <row r="17" spans="1:7" ht="11.25" customHeight="1" x14ac:dyDescent="0.2">
      <c r="A17" s="55">
        <v>44713</v>
      </c>
      <c r="B17" s="45">
        <v>0</v>
      </c>
      <c r="C17" s="45">
        <v>35.318052000000051</v>
      </c>
      <c r="D17" s="45">
        <v>0</v>
      </c>
      <c r="E17" s="45">
        <v>37.843132433774564</v>
      </c>
      <c r="F17" s="45">
        <v>35.318052000000051</v>
      </c>
      <c r="G17" s="45">
        <v>37.843132433774564</v>
      </c>
    </row>
    <row r="18" spans="1:7" ht="11.25" customHeight="1" x14ac:dyDescent="0.2">
      <c r="A18" s="55">
        <v>44743</v>
      </c>
      <c r="B18" s="45">
        <v>0</v>
      </c>
      <c r="C18" s="45">
        <v>28.444323600000061</v>
      </c>
      <c r="D18" s="45">
        <v>0</v>
      </c>
      <c r="E18" s="45">
        <v>30.477963648276525</v>
      </c>
      <c r="F18" s="45">
        <v>28.444323600000061</v>
      </c>
      <c r="G18" s="45">
        <v>30.477963648276525</v>
      </c>
    </row>
    <row r="19" spans="1:7" ht="11.25" customHeight="1" x14ac:dyDescent="0.2">
      <c r="A19" s="55">
        <v>44774</v>
      </c>
      <c r="B19" s="45">
        <v>0</v>
      </c>
      <c r="C19" s="45">
        <v>29.317780800000016</v>
      </c>
      <c r="D19" s="45">
        <v>0</v>
      </c>
      <c r="E19" s="45">
        <v>31.413869074058006</v>
      </c>
      <c r="F19" s="45">
        <v>29.317780800000016</v>
      </c>
      <c r="G19" s="45">
        <v>31.413869074058006</v>
      </c>
    </row>
    <row r="20" spans="1:7" ht="11.25" customHeight="1" x14ac:dyDescent="0.2">
      <c r="A20" s="55">
        <v>44805</v>
      </c>
      <c r="B20" s="45">
        <v>0</v>
      </c>
      <c r="C20" s="45">
        <v>31.634341200000016</v>
      </c>
      <c r="D20" s="45">
        <v>0</v>
      </c>
      <c r="E20" s="45">
        <v>33.896053029391595</v>
      </c>
      <c r="F20" s="45">
        <v>31.634341200000016</v>
      </c>
      <c r="G20" s="45">
        <v>33.896053029391595</v>
      </c>
    </row>
    <row r="21" spans="1:7" ht="11.25" customHeight="1" x14ac:dyDescent="0.2">
      <c r="A21" s="55">
        <v>44835</v>
      </c>
      <c r="B21" s="45">
        <v>0</v>
      </c>
      <c r="C21" s="45">
        <v>30.912789599999996</v>
      </c>
      <c r="D21" s="45">
        <v>0</v>
      </c>
      <c r="E21" s="45">
        <v>33.122913764615539</v>
      </c>
      <c r="F21" s="45">
        <v>30.912789599999996</v>
      </c>
      <c r="G21" s="45">
        <v>33.122913764615539</v>
      </c>
    </row>
    <row r="22" spans="1:7" ht="11.25" customHeight="1" x14ac:dyDescent="0.2">
      <c r="A22" s="47" t="s">
        <v>464</v>
      </c>
      <c r="B22" s="45">
        <v>0</v>
      </c>
      <c r="C22" s="45">
        <v>5948.9650700000029</v>
      </c>
      <c r="D22" s="45">
        <v>0</v>
      </c>
      <c r="E22" s="45">
        <v>5968.0386726334682</v>
      </c>
      <c r="F22" s="45">
        <v>5948.9650700000029</v>
      </c>
      <c r="G22" s="45">
        <v>5968.0386726334682</v>
      </c>
    </row>
    <row r="23" spans="1:7" ht="11.25" customHeight="1" x14ac:dyDescent="0.2">
      <c r="A23" s="48" t="s">
        <v>22</v>
      </c>
      <c r="B23" s="45">
        <v>0</v>
      </c>
      <c r="C23" s="45">
        <v>5948.9650700000029</v>
      </c>
      <c r="D23" s="45">
        <v>0</v>
      </c>
      <c r="E23" s="45">
        <v>5968.0386726334682</v>
      </c>
      <c r="F23" s="45">
        <v>5948.9650700000029</v>
      </c>
      <c r="G23" s="45">
        <v>5968.0386726334682</v>
      </c>
    </row>
    <row r="24" spans="1:7" ht="11.25" customHeight="1" x14ac:dyDescent="0.2">
      <c r="A24" s="49" t="s">
        <v>23</v>
      </c>
      <c r="B24" s="45">
        <v>0</v>
      </c>
      <c r="C24" s="45">
        <v>5948.9650700000029</v>
      </c>
      <c r="D24" s="45">
        <v>0</v>
      </c>
      <c r="E24" s="45">
        <v>5968.0386726334682</v>
      </c>
      <c r="F24" s="45">
        <v>5948.9650700000029</v>
      </c>
      <c r="G24" s="45">
        <v>5968.0386726334682</v>
      </c>
    </row>
    <row r="25" spans="1:7" ht="11.25" customHeight="1" x14ac:dyDescent="0.2">
      <c r="A25" s="50" t="s">
        <v>24</v>
      </c>
      <c r="B25" s="45">
        <v>0</v>
      </c>
      <c r="C25" s="45">
        <v>5948.9650700000029</v>
      </c>
      <c r="D25" s="45">
        <v>0</v>
      </c>
      <c r="E25" s="45">
        <v>5968.0386726334682</v>
      </c>
      <c r="F25" s="45">
        <v>5948.9650700000029</v>
      </c>
      <c r="G25" s="45">
        <v>5968.0386726334682</v>
      </c>
    </row>
    <row r="26" spans="1:7" ht="11.25" customHeight="1" x14ac:dyDescent="0.2">
      <c r="A26" s="51" t="s">
        <v>41</v>
      </c>
      <c r="B26" s="45">
        <v>0</v>
      </c>
      <c r="C26" s="45">
        <v>169.2432</v>
      </c>
      <c r="D26" s="45">
        <v>0</v>
      </c>
      <c r="E26" s="45">
        <v>169.80011543513092</v>
      </c>
      <c r="F26" s="45">
        <v>169.2432</v>
      </c>
      <c r="G26" s="45">
        <v>169.80011543513092</v>
      </c>
    </row>
    <row r="27" spans="1:7" ht="11.25" customHeight="1" x14ac:dyDescent="0.2">
      <c r="A27" s="52" t="s">
        <v>25</v>
      </c>
      <c r="B27" s="45">
        <v>0</v>
      </c>
      <c r="C27" s="45">
        <v>169.2432</v>
      </c>
      <c r="D27" s="45">
        <v>0</v>
      </c>
      <c r="E27" s="45">
        <v>169.80011543513092</v>
      </c>
      <c r="F27" s="45">
        <v>169.2432</v>
      </c>
      <c r="G27" s="45">
        <v>169.80011543513092</v>
      </c>
    </row>
    <row r="28" spans="1:7" ht="11.25" customHeight="1" x14ac:dyDescent="0.2">
      <c r="A28" s="53" t="s">
        <v>25</v>
      </c>
      <c r="B28" s="45">
        <v>0</v>
      </c>
      <c r="C28" s="45">
        <v>169.2432</v>
      </c>
      <c r="D28" s="45">
        <v>0</v>
      </c>
      <c r="E28" s="45">
        <v>169.80011543513092</v>
      </c>
      <c r="F28" s="45">
        <v>169.2432</v>
      </c>
      <c r="G28" s="45">
        <v>169.80011543513092</v>
      </c>
    </row>
    <row r="29" spans="1:7" ht="11.25" customHeight="1" x14ac:dyDescent="0.2">
      <c r="A29" s="54" t="s">
        <v>25</v>
      </c>
      <c r="B29" s="45">
        <v>0</v>
      </c>
      <c r="C29" s="45">
        <v>169.2432</v>
      </c>
      <c r="D29" s="45">
        <v>0</v>
      </c>
      <c r="E29" s="45">
        <v>169.80011543513092</v>
      </c>
      <c r="F29" s="45">
        <v>169.2432</v>
      </c>
      <c r="G29" s="45">
        <v>169.80011543513092</v>
      </c>
    </row>
    <row r="30" spans="1:7" ht="11.25" customHeight="1" x14ac:dyDescent="0.2">
      <c r="A30" s="55">
        <v>44562</v>
      </c>
      <c r="B30" s="45">
        <v>0</v>
      </c>
      <c r="C30" s="45">
        <v>10.577700000000002</v>
      </c>
      <c r="D30" s="45">
        <v>0</v>
      </c>
      <c r="E30" s="45">
        <v>10.612507214695682</v>
      </c>
      <c r="F30" s="45">
        <v>10.577700000000002</v>
      </c>
      <c r="G30" s="45">
        <v>10.612507214695682</v>
      </c>
    </row>
    <row r="31" spans="1:7" ht="11.25" customHeight="1" x14ac:dyDescent="0.2">
      <c r="A31" s="55">
        <v>44593</v>
      </c>
      <c r="B31" s="45">
        <v>0</v>
      </c>
      <c r="C31" s="45">
        <v>10.577700000000002</v>
      </c>
      <c r="D31" s="45">
        <v>0</v>
      </c>
      <c r="E31" s="45">
        <v>10.612507214695682</v>
      </c>
      <c r="F31" s="45">
        <v>10.577700000000002</v>
      </c>
      <c r="G31" s="45">
        <v>10.612507214695682</v>
      </c>
    </row>
    <row r="32" spans="1:7" ht="11.25" customHeight="1" x14ac:dyDescent="0.2">
      <c r="A32" s="55">
        <v>44621</v>
      </c>
      <c r="B32" s="45">
        <v>0</v>
      </c>
      <c r="C32" s="45">
        <v>21.155400000000004</v>
      </c>
      <c r="D32" s="45">
        <v>0</v>
      </c>
      <c r="E32" s="45">
        <v>21.225014429391365</v>
      </c>
      <c r="F32" s="45">
        <v>21.155400000000004</v>
      </c>
      <c r="G32" s="45">
        <v>21.225014429391365</v>
      </c>
    </row>
    <row r="33" spans="1:7" ht="11.25" customHeight="1" x14ac:dyDescent="0.2">
      <c r="A33" s="55">
        <v>44652</v>
      </c>
      <c r="B33" s="45">
        <v>0</v>
      </c>
      <c r="C33" s="45">
        <v>10.577700000000002</v>
      </c>
      <c r="D33" s="45">
        <v>0</v>
      </c>
      <c r="E33" s="45">
        <v>10.612507214695682</v>
      </c>
      <c r="F33" s="45">
        <v>10.577700000000002</v>
      </c>
      <c r="G33" s="45">
        <v>10.612507214695682</v>
      </c>
    </row>
    <row r="34" spans="1:7" ht="11.25" customHeight="1" x14ac:dyDescent="0.2">
      <c r="A34" s="55">
        <v>44682</v>
      </c>
      <c r="B34" s="45">
        <v>0</v>
      </c>
      <c r="C34" s="45">
        <v>10.577700000000002</v>
      </c>
      <c r="D34" s="45">
        <v>0</v>
      </c>
      <c r="E34" s="45">
        <v>10.612507214695682</v>
      </c>
      <c r="F34" s="45">
        <v>10.577700000000002</v>
      </c>
      <c r="G34" s="45">
        <v>10.612507214695682</v>
      </c>
    </row>
    <row r="35" spans="1:7" ht="11.25" customHeight="1" x14ac:dyDescent="0.2">
      <c r="A35" s="55">
        <v>44713</v>
      </c>
      <c r="B35" s="45">
        <v>0</v>
      </c>
      <c r="C35" s="45">
        <v>31.733100000000007</v>
      </c>
      <c r="D35" s="45">
        <v>0</v>
      </c>
      <c r="E35" s="45">
        <v>31.837521644087047</v>
      </c>
      <c r="F35" s="45">
        <v>31.733100000000007</v>
      </c>
      <c r="G35" s="45">
        <v>31.837521644087047</v>
      </c>
    </row>
    <row r="36" spans="1:7" ht="11.25" customHeight="1" x14ac:dyDescent="0.2">
      <c r="A36" s="55">
        <v>44743</v>
      </c>
      <c r="B36" s="45">
        <v>0</v>
      </c>
      <c r="C36" s="45">
        <v>42.310800000000008</v>
      </c>
      <c r="D36" s="45">
        <v>0</v>
      </c>
      <c r="E36" s="45">
        <v>42.45002885878273</v>
      </c>
      <c r="F36" s="45">
        <v>42.310800000000008</v>
      </c>
      <c r="G36" s="45">
        <v>42.45002885878273</v>
      </c>
    </row>
    <row r="37" spans="1:7" ht="11.25" customHeight="1" x14ac:dyDescent="0.2">
      <c r="A37" s="55">
        <v>44774</v>
      </c>
      <c r="B37" s="45">
        <v>0</v>
      </c>
      <c r="C37" s="45">
        <v>10.577700000000002</v>
      </c>
      <c r="D37" s="45">
        <v>0</v>
      </c>
      <c r="E37" s="45">
        <v>10.612507214695682</v>
      </c>
      <c r="F37" s="45">
        <v>10.577700000000002</v>
      </c>
      <c r="G37" s="45">
        <v>10.612507214695682</v>
      </c>
    </row>
    <row r="38" spans="1:7" ht="11.25" customHeight="1" x14ac:dyDescent="0.2">
      <c r="A38" s="55">
        <v>44805</v>
      </c>
      <c r="B38" s="45">
        <v>0</v>
      </c>
      <c r="C38" s="45">
        <v>10.577700000000002</v>
      </c>
      <c r="D38" s="45">
        <v>0</v>
      </c>
      <c r="E38" s="45">
        <v>10.612507214695682</v>
      </c>
      <c r="F38" s="45">
        <v>10.577700000000002</v>
      </c>
      <c r="G38" s="45">
        <v>10.612507214695682</v>
      </c>
    </row>
    <row r="39" spans="1:7" ht="11.25" customHeight="1" x14ac:dyDescent="0.2">
      <c r="A39" s="55">
        <v>44835</v>
      </c>
      <c r="B39" s="45">
        <v>0</v>
      </c>
      <c r="C39" s="45">
        <v>10.577700000000002</v>
      </c>
      <c r="D39" s="45">
        <v>0</v>
      </c>
      <c r="E39" s="45">
        <v>10.612507214695682</v>
      </c>
      <c r="F39" s="45">
        <v>10.577700000000002</v>
      </c>
      <c r="G39" s="45">
        <v>10.612507214695682</v>
      </c>
    </row>
    <row r="40" spans="1:7" ht="11.25" customHeight="1" x14ac:dyDescent="0.2">
      <c r="A40" s="51" t="s">
        <v>42</v>
      </c>
      <c r="B40" s="45">
        <v>0</v>
      </c>
      <c r="C40" s="45">
        <v>1586.8478700000001</v>
      </c>
      <c r="D40" s="45">
        <v>0</v>
      </c>
      <c r="E40" s="45">
        <v>1591.9849284321954</v>
      </c>
      <c r="F40" s="45">
        <v>1586.8478700000001</v>
      </c>
      <c r="G40" s="45">
        <v>1591.9849284321954</v>
      </c>
    </row>
    <row r="41" spans="1:7" ht="11.25" customHeight="1" x14ac:dyDescent="0.2">
      <c r="A41" s="52" t="s">
        <v>25</v>
      </c>
      <c r="B41" s="45">
        <v>0</v>
      </c>
      <c r="C41" s="45">
        <v>1586.8478700000001</v>
      </c>
      <c r="D41" s="45">
        <v>0</v>
      </c>
      <c r="E41" s="45">
        <v>1591.9849284321954</v>
      </c>
      <c r="F41" s="45">
        <v>1586.8478700000001</v>
      </c>
      <c r="G41" s="45">
        <v>1591.9849284321954</v>
      </c>
    </row>
    <row r="42" spans="1:7" ht="11.25" customHeight="1" x14ac:dyDescent="0.2">
      <c r="A42" s="53" t="s">
        <v>25</v>
      </c>
      <c r="B42" s="45">
        <v>0</v>
      </c>
      <c r="C42" s="45">
        <v>1586.8478700000001</v>
      </c>
      <c r="D42" s="45">
        <v>0</v>
      </c>
      <c r="E42" s="45">
        <v>1591.9849284321954</v>
      </c>
      <c r="F42" s="45">
        <v>1586.8478700000001</v>
      </c>
      <c r="G42" s="45">
        <v>1591.9849284321954</v>
      </c>
    </row>
    <row r="43" spans="1:7" ht="11.25" customHeight="1" x14ac:dyDescent="0.2">
      <c r="A43" s="54" t="s">
        <v>25</v>
      </c>
      <c r="B43" s="45">
        <v>0</v>
      </c>
      <c r="C43" s="45">
        <v>1586.8478700000001</v>
      </c>
      <c r="D43" s="45">
        <v>0</v>
      </c>
      <c r="E43" s="45">
        <v>1591.9849284321954</v>
      </c>
      <c r="F43" s="45">
        <v>1586.8478700000001</v>
      </c>
      <c r="G43" s="45">
        <v>1591.9849284321954</v>
      </c>
    </row>
    <row r="44" spans="1:7" ht="11.25" customHeight="1" x14ac:dyDescent="0.2">
      <c r="A44" s="55">
        <v>44593</v>
      </c>
      <c r="B44" s="45">
        <v>0</v>
      </c>
      <c r="C44" s="45">
        <v>19.095120000000001</v>
      </c>
      <c r="D44" s="45">
        <v>0</v>
      </c>
      <c r="E44" s="45">
        <v>19.156936100373741</v>
      </c>
      <c r="F44" s="45">
        <v>19.095120000000001</v>
      </c>
      <c r="G44" s="45">
        <v>19.156936100373741</v>
      </c>
    </row>
    <row r="45" spans="1:7" ht="11.25" customHeight="1" x14ac:dyDescent="0.2">
      <c r="A45" s="55">
        <v>44621</v>
      </c>
      <c r="B45" s="45">
        <v>0</v>
      </c>
      <c r="C45" s="45">
        <v>52.077600000000004</v>
      </c>
      <c r="D45" s="45">
        <v>0</v>
      </c>
      <c r="E45" s="45">
        <v>52.246189364655656</v>
      </c>
      <c r="F45" s="45">
        <v>52.077600000000004</v>
      </c>
      <c r="G45" s="45">
        <v>52.246189364655656</v>
      </c>
    </row>
    <row r="46" spans="1:7" ht="11.25" customHeight="1" x14ac:dyDescent="0.2">
      <c r="A46" s="55">
        <v>44652</v>
      </c>
      <c r="B46" s="45">
        <v>0</v>
      </c>
      <c r="C46" s="45">
        <v>175.97889000000004</v>
      </c>
      <c r="D46" s="45">
        <v>0</v>
      </c>
      <c r="E46" s="45">
        <v>176.54858156139892</v>
      </c>
      <c r="F46" s="45">
        <v>175.97889000000004</v>
      </c>
      <c r="G46" s="45">
        <v>176.54858156139892</v>
      </c>
    </row>
    <row r="47" spans="1:7" ht="11.25" customHeight="1" x14ac:dyDescent="0.2">
      <c r="A47" s="55">
        <v>44682</v>
      </c>
      <c r="B47" s="45">
        <v>0</v>
      </c>
      <c r="C47" s="45">
        <v>211.13127000000003</v>
      </c>
      <c r="D47" s="45">
        <v>0</v>
      </c>
      <c r="E47" s="45">
        <v>211.81475938254147</v>
      </c>
      <c r="F47" s="45">
        <v>211.13127000000003</v>
      </c>
      <c r="G47" s="45">
        <v>211.81475938254147</v>
      </c>
    </row>
    <row r="48" spans="1:7" ht="11.25" customHeight="1" x14ac:dyDescent="0.2">
      <c r="A48" s="55">
        <v>44713</v>
      </c>
      <c r="B48" s="45">
        <v>0</v>
      </c>
      <c r="C48" s="45">
        <v>225.45261000000002</v>
      </c>
      <c r="D48" s="45">
        <v>0</v>
      </c>
      <c r="E48" s="45">
        <v>226.18246145782177</v>
      </c>
      <c r="F48" s="45">
        <v>225.45261000000002</v>
      </c>
      <c r="G48" s="45">
        <v>226.18246145782177</v>
      </c>
    </row>
    <row r="49" spans="1:7" ht="11.25" customHeight="1" x14ac:dyDescent="0.2">
      <c r="A49" s="55">
        <v>44743</v>
      </c>
      <c r="B49" s="45">
        <v>0</v>
      </c>
      <c r="C49" s="45">
        <v>257.56713000000008</v>
      </c>
      <c r="D49" s="45">
        <v>0</v>
      </c>
      <c r="E49" s="45">
        <v>258.40094489935944</v>
      </c>
      <c r="F49" s="45">
        <v>257.56713000000008</v>
      </c>
      <c r="G49" s="45">
        <v>258.40094489935944</v>
      </c>
    </row>
    <row r="50" spans="1:7" ht="11.25" customHeight="1" x14ac:dyDescent="0.2">
      <c r="A50" s="55">
        <v>44774</v>
      </c>
      <c r="B50" s="45">
        <v>0</v>
      </c>
      <c r="C50" s="45">
        <v>230.44338000000005</v>
      </c>
      <c r="D50" s="45">
        <v>0</v>
      </c>
      <c r="E50" s="45">
        <v>231.1893879386013</v>
      </c>
      <c r="F50" s="45">
        <v>230.44338000000005</v>
      </c>
      <c r="G50" s="45">
        <v>231.1893879386013</v>
      </c>
    </row>
    <row r="51" spans="1:7" ht="11.25" customHeight="1" x14ac:dyDescent="0.2">
      <c r="A51" s="55">
        <v>44805</v>
      </c>
      <c r="B51" s="45">
        <v>0</v>
      </c>
      <c r="C51" s="45">
        <v>214.82010000000002</v>
      </c>
      <c r="D51" s="45">
        <v>0</v>
      </c>
      <c r="E51" s="45">
        <v>215.51553112920459</v>
      </c>
      <c r="F51" s="45">
        <v>214.82010000000002</v>
      </c>
      <c r="G51" s="45">
        <v>215.51553112920459</v>
      </c>
    </row>
    <row r="52" spans="1:7" ht="11.25" customHeight="1" x14ac:dyDescent="0.2">
      <c r="A52" s="55">
        <v>44835</v>
      </c>
      <c r="B52" s="45">
        <v>0</v>
      </c>
      <c r="C52" s="45">
        <v>200.28177000000005</v>
      </c>
      <c r="D52" s="45">
        <v>0</v>
      </c>
      <c r="E52" s="45">
        <v>200.93013659823822</v>
      </c>
      <c r="F52" s="45">
        <v>200.28177000000005</v>
      </c>
      <c r="G52" s="45">
        <v>200.93013659823822</v>
      </c>
    </row>
    <row r="53" spans="1:7" ht="11.25" customHeight="1" x14ac:dyDescent="0.2">
      <c r="A53" s="51" t="s">
        <v>39</v>
      </c>
      <c r="B53" s="45">
        <v>0</v>
      </c>
      <c r="C53" s="45">
        <v>4192.8740000000025</v>
      </c>
      <c r="D53" s="45">
        <v>0</v>
      </c>
      <c r="E53" s="45">
        <v>4206.2536287661469</v>
      </c>
      <c r="F53" s="45">
        <v>4192.8740000000025</v>
      </c>
      <c r="G53" s="45">
        <v>4206.2536287661469</v>
      </c>
    </row>
    <row r="54" spans="1:7" ht="11.25" customHeight="1" x14ac:dyDescent="0.2">
      <c r="A54" s="52" t="s">
        <v>25</v>
      </c>
      <c r="B54" s="45">
        <v>0</v>
      </c>
      <c r="C54" s="45">
        <v>4192.8740000000025</v>
      </c>
      <c r="D54" s="45">
        <v>0</v>
      </c>
      <c r="E54" s="45">
        <v>4206.2536287661469</v>
      </c>
      <c r="F54" s="45">
        <v>4192.8740000000025</v>
      </c>
      <c r="G54" s="45">
        <v>4206.2536287661469</v>
      </c>
    </row>
    <row r="55" spans="1:7" ht="11.25" customHeight="1" x14ac:dyDescent="0.2">
      <c r="A55" s="53" t="s">
        <v>25</v>
      </c>
      <c r="B55" s="45">
        <v>0</v>
      </c>
      <c r="C55" s="45">
        <v>4192.8740000000025</v>
      </c>
      <c r="D55" s="45">
        <v>0</v>
      </c>
      <c r="E55" s="45">
        <v>4206.2536287661469</v>
      </c>
      <c r="F55" s="45">
        <v>4192.8740000000025</v>
      </c>
      <c r="G55" s="45">
        <v>4206.2536287661469</v>
      </c>
    </row>
    <row r="56" spans="1:7" ht="11.25" customHeight="1" x14ac:dyDescent="0.2">
      <c r="A56" s="54" t="s">
        <v>25</v>
      </c>
      <c r="B56" s="45">
        <v>0</v>
      </c>
      <c r="C56" s="45">
        <v>4192.8740000000025</v>
      </c>
      <c r="D56" s="45">
        <v>0</v>
      </c>
      <c r="E56" s="45">
        <v>4206.2536287661469</v>
      </c>
      <c r="F56" s="45">
        <v>4192.8740000000025</v>
      </c>
      <c r="G56" s="45">
        <v>4206.2536287661469</v>
      </c>
    </row>
    <row r="57" spans="1:7" ht="11.25" customHeight="1" x14ac:dyDescent="0.2">
      <c r="A57" s="55">
        <v>44531</v>
      </c>
      <c r="B57" s="45">
        <v>0</v>
      </c>
      <c r="C57" s="45">
        <v>30.000250000000019</v>
      </c>
      <c r="D57" s="45">
        <v>0</v>
      </c>
      <c r="E57" s="45">
        <v>30.095981998598479</v>
      </c>
      <c r="F57" s="45">
        <v>30.000250000000019</v>
      </c>
      <c r="G57" s="45">
        <v>30.095981998598479</v>
      </c>
    </row>
    <row r="58" spans="1:7" ht="11.25" customHeight="1" x14ac:dyDescent="0.2">
      <c r="A58" s="55">
        <v>44562</v>
      </c>
      <c r="B58" s="45">
        <v>0</v>
      </c>
      <c r="C58" s="45">
        <v>26.853750000000012</v>
      </c>
      <c r="D58" s="45">
        <v>0</v>
      </c>
      <c r="E58" s="45">
        <v>26.939441391150535</v>
      </c>
      <c r="F58" s="45">
        <v>26.853750000000012</v>
      </c>
      <c r="G58" s="45">
        <v>26.939441391150535</v>
      </c>
    </row>
    <row r="59" spans="1:7" ht="11.25" customHeight="1" x14ac:dyDescent="0.2">
      <c r="A59" s="55">
        <v>44593</v>
      </c>
      <c r="B59" s="45">
        <v>0</v>
      </c>
      <c r="C59" s="45">
        <v>26.636750000000013</v>
      </c>
      <c r="D59" s="45">
        <v>0</v>
      </c>
      <c r="E59" s="45">
        <v>26.721748935464468</v>
      </c>
      <c r="F59" s="45">
        <v>26.636750000000013</v>
      </c>
      <c r="G59" s="45">
        <v>26.721748935464468</v>
      </c>
    </row>
    <row r="60" spans="1:7" ht="11.25" customHeight="1" x14ac:dyDescent="0.2">
      <c r="A60" s="55">
        <v>44621</v>
      </c>
      <c r="B60" s="45">
        <v>0</v>
      </c>
      <c r="C60" s="45">
        <v>173.3830000000001</v>
      </c>
      <c r="D60" s="45">
        <v>0</v>
      </c>
      <c r="E60" s="45">
        <v>173.93627209316588</v>
      </c>
      <c r="F60" s="45">
        <v>173.3830000000001</v>
      </c>
      <c r="G60" s="45">
        <v>173.93627209316588</v>
      </c>
    </row>
    <row r="61" spans="1:7" ht="11.25" customHeight="1" x14ac:dyDescent="0.2">
      <c r="A61" s="55">
        <v>44652</v>
      </c>
      <c r="B61" s="45">
        <v>0</v>
      </c>
      <c r="C61" s="45">
        <v>545.80925000000025</v>
      </c>
      <c r="D61" s="45">
        <v>0</v>
      </c>
      <c r="E61" s="45">
        <v>547.55094916437486</v>
      </c>
      <c r="F61" s="45">
        <v>545.80925000000025</v>
      </c>
      <c r="G61" s="45">
        <v>547.55094916437486</v>
      </c>
    </row>
    <row r="62" spans="1:7" ht="11.25" customHeight="1" x14ac:dyDescent="0.2">
      <c r="A62" s="55">
        <v>44682</v>
      </c>
      <c r="B62" s="45">
        <v>0</v>
      </c>
      <c r="C62" s="45">
        <v>634.50800000000027</v>
      </c>
      <c r="D62" s="45">
        <v>0</v>
      </c>
      <c r="E62" s="45">
        <v>636.53274042605381</v>
      </c>
      <c r="F62" s="45">
        <v>634.50800000000027</v>
      </c>
      <c r="G62" s="45">
        <v>636.53274042605381</v>
      </c>
    </row>
    <row r="63" spans="1:7" ht="11.25" customHeight="1" x14ac:dyDescent="0.2">
      <c r="A63" s="55">
        <v>44713</v>
      </c>
      <c r="B63" s="45">
        <v>0</v>
      </c>
      <c r="C63" s="45">
        <v>550.63750000000027</v>
      </c>
      <c r="D63" s="45">
        <v>0</v>
      </c>
      <c r="E63" s="45">
        <v>552.39460630338976</v>
      </c>
      <c r="F63" s="45">
        <v>550.63750000000027</v>
      </c>
      <c r="G63" s="45">
        <v>552.39460630338976</v>
      </c>
    </row>
    <row r="64" spans="1:7" ht="11.25" customHeight="1" x14ac:dyDescent="0.2">
      <c r="A64" s="55">
        <v>44743</v>
      </c>
      <c r="B64" s="45">
        <v>0</v>
      </c>
      <c r="C64" s="45">
        <v>545.64650000000029</v>
      </c>
      <c r="D64" s="45">
        <v>0</v>
      </c>
      <c r="E64" s="45">
        <v>547.38767982261027</v>
      </c>
      <c r="F64" s="45">
        <v>545.64650000000029</v>
      </c>
      <c r="G64" s="45">
        <v>547.38767982261027</v>
      </c>
    </row>
    <row r="65" spans="1:7" ht="11.25" customHeight="1" x14ac:dyDescent="0.2">
      <c r="A65" s="55">
        <v>44774</v>
      </c>
      <c r="B65" s="45">
        <v>0</v>
      </c>
      <c r="C65" s="45">
        <v>533.27750000000026</v>
      </c>
      <c r="D65" s="45">
        <v>0</v>
      </c>
      <c r="E65" s="45">
        <v>534.97920984850452</v>
      </c>
      <c r="F65" s="45">
        <v>533.27750000000026</v>
      </c>
      <c r="G65" s="45">
        <v>534.97920984850452</v>
      </c>
    </row>
    <row r="66" spans="1:7" ht="11.25" customHeight="1" x14ac:dyDescent="0.2">
      <c r="A66" s="55">
        <v>44805</v>
      </c>
      <c r="B66" s="45">
        <v>0</v>
      </c>
      <c r="C66" s="45">
        <v>608.35950000000037</v>
      </c>
      <c r="D66" s="45">
        <v>0</v>
      </c>
      <c r="E66" s="45">
        <v>610.30079951588311</v>
      </c>
      <c r="F66" s="45">
        <v>608.35950000000037</v>
      </c>
      <c r="G66" s="45">
        <v>610.30079951588311</v>
      </c>
    </row>
    <row r="67" spans="1:7" ht="11.25" customHeight="1" x14ac:dyDescent="0.2">
      <c r="A67" s="55">
        <v>44835</v>
      </c>
      <c r="B67" s="45">
        <v>0</v>
      </c>
      <c r="C67" s="45">
        <v>517.76200000000028</v>
      </c>
      <c r="D67" s="45">
        <v>0</v>
      </c>
      <c r="E67" s="45">
        <v>519.41419926695096</v>
      </c>
      <c r="F67" s="45">
        <v>517.76200000000028</v>
      </c>
      <c r="G67" s="45">
        <v>519.41419926695096</v>
      </c>
    </row>
    <row r="68" spans="1:7" ht="11.25" customHeight="1" x14ac:dyDescent="0.2">
      <c r="A68" s="51" t="s">
        <v>40</v>
      </c>
      <c r="B68" s="45">
        <v>0</v>
      </c>
      <c r="C68" s="45">
        <v>2.3166819573816609E-12</v>
      </c>
      <c r="D68" s="45">
        <v>0</v>
      </c>
      <c r="E68" s="45">
        <v>-4.6333639147633219E-12</v>
      </c>
      <c r="F68" s="45">
        <v>2.3166819573816609E-12</v>
      </c>
      <c r="G68" s="45">
        <v>-4.6333639147633219E-12</v>
      </c>
    </row>
    <row r="69" spans="1:7" ht="11.25" customHeight="1" x14ac:dyDescent="0.2">
      <c r="A69" s="52" t="s">
        <v>25</v>
      </c>
      <c r="B69" s="45">
        <v>0</v>
      </c>
      <c r="C69" s="45">
        <v>2.3166819573816609E-12</v>
      </c>
      <c r="D69" s="45">
        <v>0</v>
      </c>
      <c r="E69" s="45">
        <v>-4.6333639147633219E-12</v>
      </c>
      <c r="F69" s="45">
        <v>2.3166819573816609E-12</v>
      </c>
      <c r="G69" s="45">
        <v>-4.6333639147633219E-12</v>
      </c>
    </row>
    <row r="70" spans="1:7" ht="11.25" customHeight="1" x14ac:dyDescent="0.2">
      <c r="A70" s="53" t="s">
        <v>25</v>
      </c>
      <c r="B70" s="45">
        <v>0</v>
      </c>
      <c r="C70" s="45">
        <v>2.3166819573816609E-12</v>
      </c>
      <c r="D70" s="45">
        <v>0</v>
      </c>
      <c r="E70" s="45">
        <v>-4.6333639147633219E-12</v>
      </c>
      <c r="F70" s="45">
        <v>2.3166819573816609E-12</v>
      </c>
      <c r="G70" s="45">
        <v>-4.6333639147633219E-12</v>
      </c>
    </row>
    <row r="71" spans="1:7" ht="11.25" customHeight="1" x14ac:dyDescent="0.2">
      <c r="A71" s="54" t="s">
        <v>25</v>
      </c>
      <c r="B71" s="45">
        <v>0</v>
      </c>
      <c r="C71" s="45">
        <v>2.3166819573816609E-12</v>
      </c>
      <c r="D71" s="45">
        <v>0</v>
      </c>
      <c r="E71" s="45">
        <v>-4.6333639147633219E-12</v>
      </c>
      <c r="F71" s="45">
        <v>2.3166819573816609E-12</v>
      </c>
      <c r="G71" s="45">
        <v>-4.6333639147633219E-12</v>
      </c>
    </row>
    <row r="72" spans="1:7" ht="11.25" customHeight="1" x14ac:dyDescent="0.2">
      <c r="A72" s="55">
        <v>44531</v>
      </c>
      <c r="B72" s="45">
        <v>0</v>
      </c>
      <c r="C72" s="45">
        <v>3.9818814911996015E-14</v>
      </c>
      <c r="D72" s="45">
        <v>0</v>
      </c>
      <c r="E72" s="45">
        <v>-7.963762982399203E-14</v>
      </c>
      <c r="F72" s="45">
        <v>3.9818814911996015E-14</v>
      </c>
      <c r="G72" s="45">
        <v>-7.963762982399203E-14</v>
      </c>
    </row>
    <row r="73" spans="1:7" ht="11.25" customHeight="1" x14ac:dyDescent="0.2">
      <c r="A73" s="55">
        <v>44562</v>
      </c>
      <c r="B73" s="45">
        <v>0</v>
      </c>
      <c r="C73" s="45">
        <v>3.1974423109204508E-14</v>
      </c>
      <c r="D73" s="45">
        <v>0</v>
      </c>
      <c r="E73" s="45">
        <v>-6.3948846218409017E-14</v>
      </c>
      <c r="F73" s="45">
        <v>3.1974423109204508E-14</v>
      </c>
      <c r="G73" s="45">
        <v>-6.3948846218409017E-14</v>
      </c>
    </row>
    <row r="74" spans="1:7" ht="11.25" customHeight="1" x14ac:dyDescent="0.2">
      <c r="A74" s="55">
        <v>44593</v>
      </c>
      <c r="B74" s="45">
        <v>0</v>
      </c>
      <c r="C74" s="45">
        <v>3.163336259603966E-14</v>
      </c>
      <c r="D74" s="45">
        <v>0</v>
      </c>
      <c r="E74" s="45">
        <v>-6.326672519207932E-14</v>
      </c>
      <c r="F74" s="45">
        <v>3.163336259603966E-14</v>
      </c>
      <c r="G74" s="45">
        <v>-6.326672519207932E-14</v>
      </c>
    </row>
    <row r="75" spans="1:7" ht="11.25" customHeight="1" x14ac:dyDescent="0.2">
      <c r="A75" s="55">
        <v>44621</v>
      </c>
      <c r="B75" s="45">
        <v>0</v>
      </c>
      <c r="C75" s="45">
        <v>1.4054535313334782E-13</v>
      </c>
      <c r="D75" s="45">
        <v>0</v>
      </c>
      <c r="E75" s="45">
        <v>-2.8109070626669565E-13</v>
      </c>
      <c r="F75" s="45">
        <v>1.4054535313334782E-13</v>
      </c>
      <c r="G75" s="45">
        <v>-2.8109070626669565E-13</v>
      </c>
    </row>
    <row r="76" spans="1:7" ht="11.25" customHeight="1" x14ac:dyDescent="0.2">
      <c r="A76" s="55">
        <v>44652</v>
      </c>
      <c r="B76" s="45">
        <v>0</v>
      </c>
      <c r="C76" s="45">
        <v>2.0909851627948229E-13</v>
      </c>
      <c r="D76" s="45">
        <v>0</v>
      </c>
      <c r="E76" s="45">
        <v>-4.1819703255896458E-13</v>
      </c>
      <c r="F76" s="45">
        <v>2.0909851627948229E-13</v>
      </c>
      <c r="G76" s="45">
        <v>-4.1819703255896458E-13</v>
      </c>
    </row>
    <row r="77" spans="1:7" ht="11.25" customHeight="1" x14ac:dyDescent="0.2">
      <c r="A77" s="55">
        <v>44682</v>
      </c>
      <c r="B77" s="45">
        <v>0</v>
      </c>
      <c r="C77" s="45">
        <v>1.8593482309370301E-13</v>
      </c>
      <c r="D77" s="45">
        <v>0</v>
      </c>
      <c r="E77" s="45">
        <v>-3.7186964618740602E-13</v>
      </c>
      <c r="F77" s="45">
        <v>1.8593482309370301E-13</v>
      </c>
      <c r="G77" s="45">
        <v>-3.7186964618740602E-13</v>
      </c>
    </row>
    <row r="78" spans="1:7" ht="11.25" customHeight="1" x14ac:dyDescent="0.2">
      <c r="A78" s="55">
        <v>44713</v>
      </c>
      <c r="B78" s="45">
        <v>0</v>
      </c>
      <c r="C78" s="45">
        <v>2.9552893465734086E-13</v>
      </c>
      <c r="D78" s="45">
        <v>0</v>
      </c>
      <c r="E78" s="45">
        <v>-5.9105786931468172E-13</v>
      </c>
      <c r="F78" s="45">
        <v>2.9552893465734086E-13</v>
      </c>
      <c r="G78" s="45">
        <v>-5.9105786931468172E-13</v>
      </c>
    </row>
    <row r="79" spans="1:7" ht="11.25" customHeight="1" x14ac:dyDescent="0.2">
      <c r="A79" s="55">
        <v>44743</v>
      </c>
      <c r="B79" s="45">
        <v>0</v>
      </c>
      <c r="C79" s="45">
        <v>3.4319214137212837E-13</v>
      </c>
      <c r="D79" s="45">
        <v>0</v>
      </c>
      <c r="E79" s="45">
        <v>-6.8638428274425674E-13</v>
      </c>
      <c r="F79" s="45">
        <v>3.4319214137212837E-13</v>
      </c>
      <c r="G79" s="45">
        <v>-6.8638428274425674E-13</v>
      </c>
    </row>
    <row r="80" spans="1:7" ht="11.25" customHeight="1" x14ac:dyDescent="0.2">
      <c r="A80" s="55">
        <v>44774</v>
      </c>
      <c r="B80" s="45">
        <v>0</v>
      </c>
      <c r="C80" s="45">
        <v>3.4853542274504434E-13</v>
      </c>
      <c r="D80" s="45">
        <v>0</v>
      </c>
      <c r="E80" s="45">
        <v>-6.9707084549008868E-13</v>
      </c>
      <c r="F80" s="45">
        <v>3.4853542274504434E-13</v>
      </c>
      <c r="G80" s="45">
        <v>-6.9707084549008868E-13</v>
      </c>
    </row>
    <row r="81" spans="1:7" ht="11.25" customHeight="1" x14ac:dyDescent="0.2">
      <c r="A81" s="55">
        <v>44805</v>
      </c>
      <c r="B81" s="45">
        <v>0</v>
      </c>
      <c r="C81" s="45">
        <v>3.0874502954247872E-13</v>
      </c>
      <c r="D81" s="45">
        <v>0</v>
      </c>
      <c r="E81" s="45">
        <v>-6.1749005908495744E-13</v>
      </c>
      <c r="F81" s="45">
        <v>3.0874502954247872E-13</v>
      </c>
      <c r="G81" s="45">
        <v>-6.1749005908495744E-13</v>
      </c>
    </row>
    <row r="82" spans="1:7" ht="11.25" customHeight="1" x14ac:dyDescent="0.2">
      <c r="A82" s="55">
        <v>44835</v>
      </c>
      <c r="B82" s="45">
        <v>0</v>
      </c>
      <c r="C82" s="45">
        <v>3.8167513594089542E-13</v>
      </c>
      <c r="D82" s="45">
        <v>0</v>
      </c>
      <c r="E82" s="45">
        <v>-7.6335027188179085E-13</v>
      </c>
      <c r="F82" s="45">
        <v>3.8167513594089542E-13</v>
      </c>
      <c r="G82" s="45">
        <v>-7.6335027188179085E-13</v>
      </c>
    </row>
    <row r="83" spans="1:7" ht="11.25" customHeight="1" x14ac:dyDescent="0.2">
      <c r="A83" s="47" t="s">
        <v>465</v>
      </c>
      <c r="B83" s="45">
        <v>0</v>
      </c>
      <c r="C83" s="45">
        <v>469414.06365000032</v>
      </c>
      <c r="D83" s="45">
        <v>0</v>
      </c>
      <c r="E83" s="45">
        <v>251496.79085679146</v>
      </c>
      <c r="F83" s="45">
        <v>469414.06365000026</v>
      </c>
      <c r="G83" s="45">
        <v>251496.79085679151</v>
      </c>
    </row>
    <row r="84" spans="1:7" ht="11.25" customHeight="1" x14ac:dyDescent="0.2">
      <c r="A84" s="48" t="s">
        <v>31</v>
      </c>
      <c r="B84" s="45">
        <v>0</v>
      </c>
      <c r="C84" s="45">
        <v>469414.06365000032</v>
      </c>
      <c r="D84" s="45">
        <v>0</v>
      </c>
      <c r="E84" s="45">
        <v>251496.79085679146</v>
      </c>
      <c r="F84" s="45">
        <v>469414.06365000026</v>
      </c>
      <c r="G84" s="45">
        <v>251496.79085679151</v>
      </c>
    </row>
    <row r="85" spans="1:7" ht="11.25" customHeight="1" x14ac:dyDescent="0.2">
      <c r="A85" s="49" t="s">
        <v>23</v>
      </c>
      <c r="B85" s="45">
        <v>0</v>
      </c>
      <c r="C85" s="45">
        <v>469414.06365000032</v>
      </c>
      <c r="D85" s="45">
        <v>0</v>
      </c>
      <c r="E85" s="45">
        <v>251496.79085679146</v>
      </c>
      <c r="F85" s="45">
        <v>469414.06365000026</v>
      </c>
      <c r="G85" s="45">
        <v>251496.79085679151</v>
      </c>
    </row>
    <row r="86" spans="1:7" ht="11.25" customHeight="1" x14ac:dyDescent="0.2">
      <c r="A86" s="50" t="s">
        <v>32</v>
      </c>
      <c r="B86" s="45">
        <v>0</v>
      </c>
      <c r="C86" s="45">
        <v>469414.06365000032</v>
      </c>
      <c r="D86" s="45">
        <v>0</v>
      </c>
      <c r="E86" s="45">
        <v>251496.79085679146</v>
      </c>
      <c r="F86" s="45">
        <v>469414.06365000026</v>
      </c>
      <c r="G86" s="45">
        <v>251496.79085679151</v>
      </c>
    </row>
    <row r="87" spans="1:7" ht="11.25" customHeight="1" x14ac:dyDescent="0.2">
      <c r="A87" s="51" t="s">
        <v>25</v>
      </c>
      <c r="B87" s="45">
        <v>0</v>
      </c>
      <c r="C87" s="45">
        <v>469414.06365000032</v>
      </c>
      <c r="D87" s="45">
        <v>0</v>
      </c>
      <c r="E87" s="45">
        <v>251496.79085679146</v>
      </c>
      <c r="F87" s="45">
        <v>469414.06365000026</v>
      </c>
      <c r="G87" s="45">
        <v>251496.79085679151</v>
      </c>
    </row>
    <row r="88" spans="1:7" ht="11.25" customHeight="1" x14ac:dyDescent="0.2">
      <c r="A88" s="52" t="s">
        <v>25</v>
      </c>
      <c r="B88" s="45">
        <v>0</v>
      </c>
      <c r="C88" s="45">
        <v>469414.06365000032</v>
      </c>
      <c r="D88" s="45">
        <v>0</v>
      </c>
      <c r="E88" s="45">
        <v>251496.79085679146</v>
      </c>
      <c r="F88" s="45">
        <v>469414.06365000026</v>
      </c>
      <c r="G88" s="45">
        <v>251496.79085679151</v>
      </c>
    </row>
    <row r="89" spans="1:7" ht="11.25" customHeight="1" x14ac:dyDescent="0.2">
      <c r="A89" s="53" t="s">
        <v>25</v>
      </c>
      <c r="B89" s="45">
        <v>0</v>
      </c>
      <c r="C89" s="45">
        <v>469414.06365000032</v>
      </c>
      <c r="D89" s="45">
        <v>0</v>
      </c>
      <c r="E89" s="45">
        <v>251496.79085679146</v>
      </c>
      <c r="F89" s="45">
        <v>469414.06365000026</v>
      </c>
      <c r="G89" s="45">
        <v>251496.79085679151</v>
      </c>
    </row>
    <row r="90" spans="1:7" ht="11.25" customHeight="1" x14ac:dyDescent="0.2">
      <c r="A90" s="54" t="s">
        <v>25</v>
      </c>
      <c r="B90" s="45">
        <v>0</v>
      </c>
      <c r="C90" s="45">
        <v>469414.06365000032</v>
      </c>
      <c r="D90" s="45">
        <v>0</v>
      </c>
      <c r="E90" s="45">
        <v>251496.79085679146</v>
      </c>
      <c r="F90" s="45">
        <v>469414.06365000026</v>
      </c>
      <c r="G90" s="45">
        <v>251496.79085679151</v>
      </c>
    </row>
    <row r="91" spans="1:7" ht="11.25" customHeight="1" x14ac:dyDescent="0.2">
      <c r="A91" s="55">
        <v>44501</v>
      </c>
      <c r="B91" s="45">
        <v>0</v>
      </c>
      <c r="C91" s="45">
        <v>38498.219550000023</v>
      </c>
      <c r="D91" s="45">
        <v>0</v>
      </c>
      <c r="E91" s="45">
        <v>20626.094146476884</v>
      </c>
      <c r="F91" s="45">
        <v>38498.219550000023</v>
      </c>
      <c r="G91" s="45">
        <v>20626.094146476884</v>
      </c>
    </row>
    <row r="92" spans="1:7" ht="11.25" customHeight="1" x14ac:dyDescent="0.2">
      <c r="A92" s="55">
        <v>44531</v>
      </c>
      <c r="B92" s="45">
        <v>0</v>
      </c>
      <c r="C92" s="45">
        <v>37270.639700000022</v>
      </c>
      <c r="D92" s="45">
        <v>0</v>
      </c>
      <c r="E92" s="45">
        <v>19968.396781393982</v>
      </c>
      <c r="F92" s="45">
        <v>37270.639700000022</v>
      </c>
      <c r="G92" s="45">
        <v>19968.396781393982</v>
      </c>
    </row>
    <row r="93" spans="1:7" ht="11.25" customHeight="1" x14ac:dyDescent="0.2">
      <c r="A93" s="55">
        <v>44562</v>
      </c>
      <c r="B93" s="45">
        <v>0</v>
      </c>
      <c r="C93" s="45">
        <v>42809.445350000031</v>
      </c>
      <c r="D93" s="45">
        <v>0</v>
      </c>
      <c r="E93" s="45">
        <v>22935.908737305672</v>
      </c>
      <c r="F93" s="45">
        <v>42809.445350000031</v>
      </c>
      <c r="G93" s="45">
        <v>22935.908737305672</v>
      </c>
    </row>
    <row r="94" spans="1:7" ht="11.25" customHeight="1" x14ac:dyDescent="0.2">
      <c r="A94" s="55">
        <v>44593</v>
      </c>
      <c r="B94" s="45">
        <v>0</v>
      </c>
      <c r="C94" s="45">
        <v>43359.323350000021</v>
      </c>
      <c r="D94" s="45">
        <v>0</v>
      </c>
      <c r="E94" s="45">
        <v>23230.515488725592</v>
      </c>
      <c r="F94" s="45">
        <v>43359.323350000021</v>
      </c>
      <c r="G94" s="45">
        <v>23230.515488725592</v>
      </c>
    </row>
    <row r="95" spans="1:7" ht="11.25" customHeight="1" x14ac:dyDescent="0.2">
      <c r="A95" s="55">
        <v>44621</v>
      </c>
      <c r="B95" s="45">
        <v>0</v>
      </c>
      <c r="C95" s="45">
        <v>42510.809950000024</v>
      </c>
      <c r="D95" s="45">
        <v>0</v>
      </c>
      <c r="E95" s="45">
        <v>22775.909601037281</v>
      </c>
      <c r="F95" s="45">
        <v>42510.809950000024</v>
      </c>
      <c r="G95" s="45">
        <v>22775.909601037281</v>
      </c>
    </row>
    <row r="96" spans="1:7" ht="11.25" customHeight="1" x14ac:dyDescent="0.2">
      <c r="A96" s="55">
        <v>44652</v>
      </c>
      <c r="B96" s="45">
        <v>0</v>
      </c>
      <c r="C96" s="45">
        <v>37997.329300000027</v>
      </c>
      <c r="D96" s="45">
        <v>0</v>
      </c>
      <c r="E96" s="45">
        <v>20357.733438519099</v>
      </c>
      <c r="F96" s="45">
        <v>37997.329300000027</v>
      </c>
      <c r="G96" s="45">
        <v>20357.733438519099</v>
      </c>
    </row>
    <row r="97" spans="1:7" ht="11.25" customHeight="1" x14ac:dyDescent="0.2">
      <c r="A97" s="55">
        <v>44682</v>
      </c>
      <c r="B97" s="45">
        <v>0</v>
      </c>
      <c r="C97" s="45">
        <v>35609.68915000002</v>
      </c>
      <c r="D97" s="45">
        <v>0</v>
      </c>
      <c r="E97" s="45">
        <v>19078.513487636763</v>
      </c>
      <c r="F97" s="45">
        <v>35609.68915000002</v>
      </c>
      <c r="G97" s="45">
        <v>19078.513487636763</v>
      </c>
    </row>
    <row r="98" spans="1:7" ht="11.25" customHeight="1" x14ac:dyDescent="0.2">
      <c r="A98" s="55">
        <v>44713</v>
      </c>
      <c r="B98" s="45">
        <v>0</v>
      </c>
      <c r="C98" s="45">
        <v>38359.83865000002</v>
      </c>
      <c r="D98" s="45">
        <v>0</v>
      </c>
      <c r="E98" s="45">
        <v>20551.954160138888</v>
      </c>
      <c r="F98" s="45">
        <v>38359.83865000002</v>
      </c>
      <c r="G98" s="45">
        <v>20551.954160138888</v>
      </c>
    </row>
    <row r="99" spans="1:7" ht="11.25" customHeight="1" x14ac:dyDescent="0.2">
      <c r="A99" s="55">
        <v>44743</v>
      </c>
      <c r="B99" s="45">
        <v>0</v>
      </c>
      <c r="C99" s="45">
        <v>36424.632650000021</v>
      </c>
      <c r="D99" s="45">
        <v>0</v>
      </c>
      <c r="E99" s="45">
        <v>19515.133714533968</v>
      </c>
      <c r="F99" s="45">
        <v>36424.632650000021</v>
      </c>
      <c r="G99" s="45">
        <v>19515.133714533968</v>
      </c>
    </row>
    <row r="100" spans="1:7" ht="11.25" customHeight="1" x14ac:dyDescent="0.2">
      <c r="A100" s="55">
        <v>44774</v>
      </c>
      <c r="B100" s="45">
        <v>0</v>
      </c>
      <c r="C100" s="45">
        <v>41170.900050000026</v>
      </c>
      <c r="D100" s="45">
        <v>0</v>
      </c>
      <c r="E100" s="45">
        <v>22058.029447922607</v>
      </c>
      <c r="F100" s="45">
        <v>41170.900050000026</v>
      </c>
      <c r="G100" s="45">
        <v>22058.029447922607</v>
      </c>
    </row>
    <row r="101" spans="1:7" ht="11.25" customHeight="1" x14ac:dyDescent="0.2">
      <c r="A101" s="55">
        <v>44805</v>
      </c>
      <c r="B101" s="45">
        <v>0</v>
      </c>
      <c r="C101" s="45">
        <v>37231.525450000023</v>
      </c>
      <c r="D101" s="45">
        <v>0</v>
      </c>
      <c r="E101" s="45">
        <v>19947.440638164528</v>
      </c>
      <c r="F101" s="45">
        <v>37231.525450000023</v>
      </c>
      <c r="G101" s="45">
        <v>19947.440638164528</v>
      </c>
    </row>
    <row r="102" spans="1:7" ht="11.25" customHeight="1" x14ac:dyDescent="0.2">
      <c r="A102" s="55">
        <v>44835</v>
      </c>
      <c r="B102" s="45">
        <v>0</v>
      </c>
      <c r="C102" s="45">
        <v>38171.710500000023</v>
      </c>
      <c r="D102" s="45">
        <v>0</v>
      </c>
      <c r="E102" s="45">
        <v>20451.161214936241</v>
      </c>
      <c r="F102" s="45">
        <v>38171.710500000023</v>
      </c>
      <c r="G102" s="45">
        <v>20451.161214936241</v>
      </c>
    </row>
    <row r="103" spans="1:7" ht="11.25" customHeight="1" x14ac:dyDescent="0.2">
      <c r="A103" s="47" t="s">
        <v>474</v>
      </c>
      <c r="B103" s="45">
        <v>0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</row>
    <row r="104" spans="1:7" ht="11.25" customHeight="1" x14ac:dyDescent="0.2">
      <c r="A104" s="48" t="s">
        <v>22</v>
      </c>
      <c r="B104" s="45">
        <v>0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</row>
    <row r="105" spans="1:7" ht="11.25" customHeight="1" x14ac:dyDescent="0.2">
      <c r="A105" s="49" t="s">
        <v>23</v>
      </c>
      <c r="B105" s="45">
        <v>0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</row>
    <row r="106" spans="1:7" ht="11.25" customHeight="1" x14ac:dyDescent="0.2">
      <c r="A106" s="50" t="s">
        <v>24</v>
      </c>
      <c r="B106" s="45">
        <v>0</v>
      </c>
      <c r="C106" s="45">
        <v>0</v>
      </c>
      <c r="D106" s="45">
        <v>0</v>
      </c>
      <c r="E106" s="45">
        <v>0</v>
      </c>
      <c r="F106" s="45">
        <v>0</v>
      </c>
      <c r="G106" s="45">
        <v>0</v>
      </c>
    </row>
    <row r="107" spans="1:7" ht="11.25" customHeight="1" x14ac:dyDescent="0.2">
      <c r="A107" s="51" t="s">
        <v>24</v>
      </c>
      <c r="B107" s="45">
        <v>0</v>
      </c>
      <c r="C107" s="45">
        <v>0</v>
      </c>
      <c r="D107" s="45">
        <v>0</v>
      </c>
      <c r="E107" s="45">
        <v>0</v>
      </c>
      <c r="F107" s="45">
        <v>0</v>
      </c>
      <c r="G107" s="45">
        <v>0</v>
      </c>
    </row>
    <row r="108" spans="1:7" ht="11.25" customHeight="1" x14ac:dyDescent="0.2">
      <c r="A108" s="52" t="s">
        <v>25</v>
      </c>
      <c r="B108" s="45">
        <v>0</v>
      </c>
      <c r="C108" s="45">
        <v>0</v>
      </c>
      <c r="D108" s="45">
        <v>0</v>
      </c>
      <c r="E108" s="45">
        <v>0</v>
      </c>
      <c r="F108" s="45">
        <v>0</v>
      </c>
      <c r="G108" s="45">
        <v>0</v>
      </c>
    </row>
    <row r="109" spans="1:7" ht="11.25" customHeight="1" x14ac:dyDescent="0.2">
      <c r="A109" s="53" t="s">
        <v>25</v>
      </c>
      <c r="B109" s="45">
        <v>0</v>
      </c>
      <c r="C109" s="45">
        <v>0</v>
      </c>
      <c r="D109" s="45">
        <v>0</v>
      </c>
      <c r="E109" s="45">
        <v>0</v>
      </c>
      <c r="F109" s="45">
        <v>0</v>
      </c>
      <c r="G109" s="45">
        <v>0</v>
      </c>
    </row>
    <row r="110" spans="1:7" ht="11.25" customHeight="1" x14ac:dyDescent="0.2">
      <c r="A110" s="54" t="s">
        <v>25</v>
      </c>
      <c r="B110" s="45">
        <v>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</row>
    <row r="111" spans="1:7" ht="11.25" customHeight="1" x14ac:dyDescent="0.2">
      <c r="A111" s="55">
        <v>44501</v>
      </c>
      <c r="B111" s="45">
        <v>0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1080-EA23-4707-B3EE-27B066660CDB}">
  <sheetPr codeName="Planilha2"/>
  <dimension ref="A1:H2"/>
  <sheetViews>
    <sheetView showGridLines="0" workbookViewId="0">
      <selection activeCell="H1" sqref="H1"/>
    </sheetView>
  </sheetViews>
  <sheetFormatPr defaultColWidth="9.140625" defaultRowHeight="11.25" customHeight="1" x14ac:dyDescent="0.25"/>
  <cols>
    <col min="1" max="1" width="12.140625" style="8" bestFit="1" customWidth="1"/>
    <col min="2" max="2" width="15.85546875" style="8" bestFit="1" customWidth="1"/>
    <col min="3" max="3" width="4.7109375" style="8" bestFit="1" customWidth="1"/>
    <col min="4" max="4" width="6.42578125" style="8" bestFit="1" customWidth="1"/>
    <col min="5" max="5" width="8.42578125" style="8" bestFit="1" customWidth="1"/>
    <col min="6" max="6" width="9.140625" style="8"/>
    <col min="7" max="7" width="18.5703125" style="8" bestFit="1" customWidth="1"/>
    <col min="8" max="8" width="2" style="8" bestFit="1" customWidth="1"/>
    <col min="9" max="16384" width="9.140625" style="8"/>
  </cols>
  <sheetData>
    <row r="1" spans="1:8" s="7" customFormat="1" ht="11.25" customHeight="1" x14ac:dyDescent="0.25">
      <c r="A1" s="7" t="s">
        <v>43</v>
      </c>
      <c r="B1" s="7" t="s">
        <v>44</v>
      </c>
      <c r="C1" s="7" t="s">
        <v>45</v>
      </c>
      <c r="D1" s="7" t="s">
        <v>46</v>
      </c>
      <c r="E1" s="7" t="s">
        <v>47</v>
      </c>
      <c r="G1" s="7" t="s">
        <v>48</v>
      </c>
      <c r="H1" s="7">
        <f>COUNTA(A:A)</f>
        <v>2</v>
      </c>
    </row>
    <row r="2" spans="1:8" ht="11.25" customHeight="1" x14ac:dyDescent="0.25">
      <c r="A2" s="8" t="s">
        <v>351</v>
      </c>
      <c r="C2" s="8" t="s">
        <v>352</v>
      </c>
      <c r="D2" s="8">
        <v>40</v>
      </c>
      <c r="E2" s="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FE22-AEE8-4C3E-B0C8-BECD0F80B4F2}">
  <sheetPr codeName="Planilha20"/>
  <dimension ref="A1:V35"/>
  <sheetViews>
    <sheetView showGridLines="0" tabSelected="1" workbookViewId="0">
      <selection activeCell="R9" sqref="R9:S9"/>
    </sheetView>
  </sheetViews>
  <sheetFormatPr defaultColWidth="9.140625" defaultRowHeight="11.25" customHeight="1" x14ac:dyDescent="0.25"/>
  <cols>
    <col min="1" max="1" width="9.28515625" style="8" bestFit="1" customWidth="1"/>
    <col min="2" max="2" width="11.140625" style="8" bestFit="1" customWidth="1"/>
    <col min="3" max="3" width="10.28515625" style="8" bestFit="1" customWidth="1"/>
    <col min="4" max="4" width="6.28515625" style="8" bestFit="1" customWidth="1"/>
    <col min="5" max="10" width="7.7109375" style="8" customWidth="1"/>
    <col min="11" max="12" width="9.140625" style="8"/>
    <col min="13" max="13" width="14.28515625" style="8" customWidth="1"/>
    <col min="14" max="14" width="16.7109375" style="8" customWidth="1"/>
    <col min="15" max="15" width="31.7109375" style="8" customWidth="1"/>
    <col min="16" max="22" width="7.7109375" style="8" customWidth="1"/>
    <col min="23" max="16384" width="9.140625" style="8"/>
  </cols>
  <sheetData>
    <row r="1" spans="1:22" ht="11.25" customHeight="1" x14ac:dyDescent="0.25">
      <c r="A1" s="96" t="s">
        <v>544</v>
      </c>
      <c r="B1" s="117"/>
      <c r="C1" s="117"/>
      <c r="D1" s="117"/>
      <c r="E1" s="117"/>
      <c r="F1" s="117"/>
      <c r="G1" s="117"/>
      <c r="H1" s="117"/>
      <c r="I1" s="117"/>
      <c r="J1" s="117"/>
      <c r="L1" s="96" t="s">
        <v>554</v>
      </c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1.25" customHeight="1" x14ac:dyDescent="0.25">
      <c r="A2" s="113" t="s">
        <v>49</v>
      </c>
      <c r="B2" s="113" t="s">
        <v>50</v>
      </c>
      <c r="C2" s="113" t="s">
        <v>545</v>
      </c>
      <c r="D2" s="113" t="s">
        <v>55</v>
      </c>
      <c r="E2" s="113" t="s">
        <v>546</v>
      </c>
      <c r="F2" s="116"/>
      <c r="G2" s="116"/>
      <c r="H2" s="113" t="s">
        <v>305</v>
      </c>
      <c r="I2" s="116"/>
      <c r="J2" s="116"/>
      <c r="L2" s="113" t="s">
        <v>49</v>
      </c>
      <c r="M2" s="113" t="s">
        <v>50</v>
      </c>
      <c r="N2" s="113" t="s">
        <v>51</v>
      </c>
      <c r="O2" s="113" t="s">
        <v>52</v>
      </c>
      <c r="P2" s="113" t="s">
        <v>55</v>
      </c>
      <c r="Q2" s="113" t="s">
        <v>546</v>
      </c>
      <c r="R2" s="118"/>
      <c r="S2" s="118"/>
      <c r="T2" s="113" t="s">
        <v>305</v>
      </c>
      <c r="U2" s="118"/>
      <c r="V2" s="118"/>
    </row>
    <row r="3" spans="1:22" ht="11.25" customHeight="1" x14ac:dyDescent="0.25">
      <c r="A3" s="116"/>
      <c r="B3" s="116"/>
      <c r="C3" s="116"/>
      <c r="D3" s="116"/>
      <c r="E3" s="113" t="s">
        <v>263</v>
      </c>
      <c r="F3" s="116"/>
      <c r="G3" s="36" t="s">
        <v>291</v>
      </c>
      <c r="H3" s="113" t="s">
        <v>263</v>
      </c>
      <c r="I3" s="116"/>
      <c r="J3" s="36" t="s">
        <v>291</v>
      </c>
      <c r="L3" s="118"/>
      <c r="M3" s="118"/>
      <c r="N3" s="118"/>
      <c r="O3" s="118"/>
      <c r="P3" s="118"/>
      <c r="Q3" s="113" t="s">
        <v>263</v>
      </c>
      <c r="R3" s="118"/>
      <c r="S3" s="36" t="s">
        <v>291</v>
      </c>
      <c r="T3" s="113" t="s">
        <v>263</v>
      </c>
      <c r="U3" s="118"/>
      <c r="V3" s="36" t="s">
        <v>291</v>
      </c>
    </row>
    <row r="4" spans="1:22" ht="11.25" customHeight="1" x14ac:dyDescent="0.25">
      <c r="A4" s="116"/>
      <c r="B4" s="116"/>
      <c r="C4" s="116"/>
      <c r="D4" s="116"/>
      <c r="E4" s="36" t="s">
        <v>547</v>
      </c>
      <c r="F4" s="36" t="s">
        <v>548</v>
      </c>
      <c r="G4" s="36" t="s">
        <v>548</v>
      </c>
      <c r="H4" s="36" t="s">
        <v>547</v>
      </c>
      <c r="I4" s="36" t="s">
        <v>548</v>
      </c>
      <c r="J4" s="36" t="s">
        <v>548</v>
      </c>
      <c r="L4" s="118"/>
      <c r="M4" s="118"/>
      <c r="N4" s="118"/>
      <c r="O4" s="118"/>
      <c r="P4" s="118"/>
      <c r="Q4" s="36" t="s">
        <v>547</v>
      </c>
      <c r="R4" s="36" t="s">
        <v>548</v>
      </c>
      <c r="S4" s="36" t="s">
        <v>548</v>
      </c>
      <c r="T4" s="36" t="s">
        <v>547</v>
      </c>
      <c r="U4" s="36" t="s">
        <v>548</v>
      </c>
      <c r="V4" s="36" t="s">
        <v>548</v>
      </c>
    </row>
    <row r="5" spans="1:22" ht="11.25" customHeight="1" x14ac:dyDescent="0.25">
      <c r="A5" s="115" t="s">
        <v>58</v>
      </c>
      <c r="B5" s="115" t="s">
        <v>63</v>
      </c>
      <c r="C5" s="115" t="s">
        <v>25</v>
      </c>
      <c r="D5" s="37" t="s">
        <v>549</v>
      </c>
      <c r="E5" s="35">
        <f ca="1">ROUND('TUSD BE'!$AM$5+'TUSD BF'!$AM$5+'TUSD CVA'!$AM$5,2)</f>
        <v>91.48</v>
      </c>
      <c r="F5" s="35">
        <f ca="1">ROUND('TUSD BE'!$AM$7+'TUSD BF'!$AM$7+'TUSD CVA'!$AM$7,2)</f>
        <v>124.05</v>
      </c>
      <c r="G5" s="35">
        <f>ROUND('TE BE'!$AB$5+'TE BF'!$AB$5+'TE CVA'!$AB$5,2)</f>
        <v>192.1</v>
      </c>
      <c r="H5" s="35">
        <f ca="1">ROUND('TUSD BE'!$AM$5,2)</f>
        <v>168.51</v>
      </c>
      <c r="I5" s="35">
        <f ca="1">ROUND('TUSD BE'!$AM$7,2)</f>
        <v>126.31</v>
      </c>
      <c r="J5" s="35">
        <f>ROUND('TE BE'!$AB$5,2)</f>
        <v>201.6</v>
      </c>
      <c r="L5" s="119" t="s">
        <v>22</v>
      </c>
      <c r="M5" s="119" t="s">
        <v>555</v>
      </c>
      <c r="N5" s="119" t="s">
        <v>556</v>
      </c>
      <c r="O5" s="119" t="s">
        <v>556</v>
      </c>
      <c r="P5" s="37" t="s">
        <v>549</v>
      </c>
      <c r="Q5" s="35">
        <v>0</v>
      </c>
      <c r="R5" s="35">
        <f ca="1">ROUND('TUSD BE'!$AM$17+'TUSD BF'!$AM$17+'TUSD CVA'!$AM$17,2)</f>
        <v>1059.8599999999999</v>
      </c>
      <c r="S5" s="35">
        <f>ROUND('TE BE'!$AB$7+'TE BF'!$AB$7+'TE CVA'!$AB$7,2)</f>
        <v>192.1</v>
      </c>
      <c r="T5" s="35">
        <v>0</v>
      </c>
      <c r="U5" s="35">
        <f ca="1">ROUND('TUSD BE'!$AM$17,2)</f>
        <v>1926.26</v>
      </c>
      <c r="V5" s="35">
        <f>ROUND('TE BE'!$AB$7,2)</f>
        <v>201.6</v>
      </c>
    </row>
    <row r="6" spans="1:22" ht="11.25" customHeight="1" x14ac:dyDescent="0.25">
      <c r="A6" s="116"/>
      <c r="B6" s="116"/>
      <c r="C6" s="116"/>
      <c r="D6" s="37" t="s">
        <v>550</v>
      </c>
      <c r="E6" s="35">
        <f ca="1">ROUND('TUSD BE'!$AM$6+'TUSD BF'!$AM$6+'TUSD CVA'!$AM$6,2)</f>
        <v>31.56</v>
      </c>
      <c r="F6" s="35">
        <f ca="1">ROUND('TUSD BE'!$AM$7+'TUSD BF'!$AM$7+'TUSD CVA'!$AM$7,2)</f>
        <v>124.05</v>
      </c>
      <c r="G6" s="35">
        <f>ROUND('TE BE'!$AB$6+'TE BF'!$AB$6+'TE CVA'!$AB$6,2)</f>
        <v>192.1</v>
      </c>
      <c r="H6" s="35">
        <f ca="1">ROUND('TUSD BE'!$AM$6,2)</f>
        <v>53.19</v>
      </c>
      <c r="I6" s="35">
        <f ca="1">ROUND('TUSD BE'!$AM$7,2)</f>
        <v>126.31</v>
      </c>
      <c r="J6" s="35">
        <f>ROUND('TE BE'!$AB$6,2)</f>
        <v>201.6</v>
      </c>
      <c r="L6" s="120"/>
      <c r="M6" s="120"/>
      <c r="N6" s="120"/>
      <c r="O6" s="120"/>
      <c r="P6" s="37" t="s">
        <v>557</v>
      </c>
      <c r="Q6" s="35">
        <v>0</v>
      </c>
      <c r="R6" s="35">
        <f ca="1">ROUND('TUSD BE'!$AM$18+'TUSD BF'!$AM$18+'TUSD CVA'!$AM$18,2)</f>
        <v>695.4</v>
      </c>
      <c r="S6" s="35">
        <f>ROUND('TE BE'!$AB$8+'TE BF'!$AB$8+'TE CVA'!$AB$8,2)</f>
        <v>192.1</v>
      </c>
      <c r="T6" s="35">
        <v>0</v>
      </c>
      <c r="U6" s="35">
        <f ca="1">ROUND('TUSD BE'!$AM$18,2)</f>
        <v>1216.3900000000001</v>
      </c>
      <c r="V6" s="35">
        <f>ROUND('TE BE'!$AB$8,2)</f>
        <v>201.6</v>
      </c>
    </row>
    <row r="7" spans="1:22" ht="11.25" customHeight="1" x14ac:dyDescent="0.25">
      <c r="A7" s="116"/>
      <c r="B7" s="115" t="s">
        <v>551</v>
      </c>
      <c r="C7" s="115" t="s">
        <v>25</v>
      </c>
      <c r="D7" s="37" t="s">
        <v>549</v>
      </c>
      <c r="E7" s="35">
        <f ca="1">ROUND('TUSD BE'!$AM$5+'TUSD BF'!$AM$5+'TUSD CVA'!$AM$5,2)</f>
        <v>91.48</v>
      </c>
      <c r="F7" s="35">
        <f ca="1">ROUND('TUSD BE'!$AM$8+'TUSD BF'!$AM$8+'TUSD CVA'!$AM$8,2)</f>
        <v>9.27</v>
      </c>
      <c r="G7" s="35">
        <v>0</v>
      </c>
      <c r="H7" s="35">
        <f ca="1">ROUND('TUSD BE'!$AM$5,2)</f>
        <v>168.51</v>
      </c>
      <c r="I7" s="35">
        <f ca="1">ROUND('TUSD BE'!$AM$8,2)</f>
        <v>9.64</v>
      </c>
      <c r="J7" s="35">
        <v>0</v>
      </c>
      <c r="L7" s="120"/>
      <c r="M7" s="121"/>
      <c r="N7" s="121"/>
      <c r="O7" s="121"/>
      <c r="P7" s="37" t="s">
        <v>550</v>
      </c>
      <c r="Q7" s="35">
        <v>0</v>
      </c>
      <c r="R7" s="35">
        <f ca="1">ROUND('TUSD BE'!$AM$19+'TUSD BF'!$AM$19+'TUSD CVA'!$AM$19,2)</f>
        <v>331</v>
      </c>
      <c r="S7" s="35">
        <f>ROUND('TE BE'!$AB$9+'TE BF'!$AB$9+'TE CVA'!$AB$9,2)</f>
        <v>192.1</v>
      </c>
      <c r="T7" s="35">
        <v>0</v>
      </c>
      <c r="U7" s="35">
        <f ca="1">ROUND('TUSD BE'!$AM$19,2)</f>
        <v>506.6</v>
      </c>
      <c r="V7" s="35">
        <f>ROUND('TE BE'!$AB$9,2)</f>
        <v>201.6</v>
      </c>
    </row>
    <row r="8" spans="1:22" ht="11.25" customHeight="1" x14ac:dyDescent="0.25">
      <c r="A8" s="116"/>
      <c r="B8" s="116"/>
      <c r="C8" s="116"/>
      <c r="D8" s="37" t="s">
        <v>550</v>
      </c>
      <c r="E8" s="35">
        <f ca="1">ROUND('TUSD BE'!$AM$6+'TUSD BF'!$AM$6+'TUSD CVA'!$AM$6,2)</f>
        <v>31.56</v>
      </c>
      <c r="F8" s="35">
        <f ca="1">ROUND('TUSD BE'!$AM$8+'TUSD BF'!$AM$8+'TUSD CVA'!$AM$8,2)</f>
        <v>9.27</v>
      </c>
      <c r="G8" s="35">
        <v>0</v>
      </c>
      <c r="H8" s="35">
        <f ca="1">ROUND('TUSD BE'!$AM$6,2)</f>
        <v>53.19</v>
      </c>
      <c r="I8" s="35">
        <f ca="1">ROUND('TUSD BE'!$AM$8,2)</f>
        <v>9.64</v>
      </c>
      <c r="J8" s="35">
        <v>0</v>
      </c>
      <c r="L8" s="120"/>
      <c r="M8" s="37" t="s">
        <v>558</v>
      </c>
      <c r="N8" s="37" t="s">
        <v>556</v>
      </c>
      <c r="O8" s="37" t="s">
        <v>556</v>
      </c>
      <c r="P8" s="37" t="s">
        <v>552</v>
      </c>
      <c r="Q8" s="35">
        <v>0</v>
      </c>
      <c r="R8" s="35">
        <f ca="1">ROUND('TUSD BE'!$AM$25+'TUSD BF'!$AM$25+'TUSD CVA'!$AM$25,2)</f>
        <v>486.09</v>
      </c>
      <c r="S8" s="35">
        <f>ROUND('TE BE'!$AB$15+'TE BF'!$AB$15+'TE CVA'!$AB$15,2)</f>
        <v>192.1</v>
      </c>
      <c r="T8" s="35">
        <v>0</v>
      </c>
      <c r="U8" s="35">
        <f ca="1">ROUND('TUSD BE'!$AM$25,2)</f>
        <v>808.8</v>
      </c>
      <c r="V8" s="35">
        <f>ROUND('TE BE'!$AB$15,2)</f>
        <v>201.6</v>
      </c>
    </row>
    <row r="9" spans="1:22" ht="11.25" customHeight="1" x14ac:dyDescent="0.25">
      <c r="A9" s="116"/>
      <c r="B9" s="115" t="s">
        <v>70</v>
      </c>
      <c r="C9" s="115" t="s">
        <v>25</v>
      </c>
      <c r="D9" s="37" t="s">
        <v>552</v>
      </c>
      <c r="E9" s="35">
        <f ca="1">ROUND('TUSD BE'!$AM$10+'TUSD BF'!$AM$10+'TUSD CVA'!$AM$10,2)</f>
        <v>31.56</v>
      </c>
      <c r="F9" s="35">
        <v>0</v>
      </c>
      <c r="G9" s="35">
        <v>0</v>
      </c>
      <c r="H9" s="35">
        <f ca="1">ROUND('TUSD BE'!$AM$10,2)</f>
        <v>53.19</v>
      </c>
      <c r="I9" s="35">
        <v>0</v>
      </c>
      <c r="J9" s="35">
        <v>0</v>
      </c>
      <c r="L9" s="120"/>
      <c r="M9" s="37" t="s">
        <v>560</v>
      </c>
      <c r="N9" s="37" t="s">
        <v>556</v>
      </c>
      <c r="O9" s="37" t="s">
        <v>556</v>
      </c>
      <c r="P9" s="37" t="s">
        <v>552</v>
      </c>
      <c r="Q9" s="35">
        <v>0</v>
      </c>
      <c r="R9" s="35">
        <f ca="1">ROUND('TUSD BE'!$AM$20+'TUSD BF'!$AM$20+'TUSD CVA'!$AM$20,2)</f>
        <v>486.09</v>
      </c>
      <c r="S9" s="35">
        <f>ROUND('TE BE'!$AB$10+'TE BF'!$AB$10+'TE CVA'!$AB$10,2)</f>
        <v>192.1</v>
      </c>
      <c r="T9" s="35">
        <v>0</v>
      </c>
      <c r="U9" s="35">
        <f ca="1">ROUND('TUSD BE'!$AM$20,2)</f>
        <v>808.8</v>
      </c>
      <c r="V9" s="35">
        <f>ROUND('TE BE'!$AB$10,2)</f>
        <v>201.6</v>
      </c>
    </row>
    <row r="10" spans="1:22" ht="11.25" customHeight="1" x14ac:dyDescent="0.25">
      <c r="A10" s="116"/>
      <c r="B10" s="116"/>
      <c r="C10" s="116"/>
      <c r="D10" s="37" t="s">
        <v>549</v>
      </c>
      <c r="E10" s="35">
        <v>0</v>
      </c>
      <c r="F10" s="35">
        <f ca="1">ROUND('TUSD BE'!$AM$11+'TUSD BF'!$AM$11+'TUSD CVA'!$AM$11,2)</f>
        <v>2324.65</v>
      </c>
      <c r="G10" s="35">
        <f>ROUND('TE BE'!$AB$5+'TE BF'!$AB$5+'TE CVA'!$AB$5,2)</f>
        <v>192.1</v>
      </c>
      <c r="H10" s="35">
        <v>0</v>
      </c>
      <c r="I10" s="35">
        <f ca="1">ROUND('TUSD BE'!$AM$11,2)</f>
        <v>4179.49</v>
      </c>
      <c r="J10" s="35">
        <f>ROUND('TE BE'!$AB$5,2)</f>
        <v>201.6</v>
      </c>
      <c r="L10" s="120"/>
      <c r="M10" s="37" t="s">
        <v>558</v>
      </c>
      <c r="N10" s="37" t="s">
        <v>556</v>
      </c>
      <c r="O10" s="37" t="s">
        <v>559</v>
      </c>
      <c r="P10" s="37" t="s">
        <v>552</v>
      </c>
      <c r="Q10" s="35">
        <v>0</v>
      </c>
      <c r="R10" s="35">
        <f ca="1">ROUND('TUSD BE'!$AM$26+'TUSD BF'!$AM$26+'TUSD CVA'!$AM$26,2)</f>
        <v>352.13</v>
      </c>
      <c r="S10" s="35">
        <f>ROUND('TE BE'!$AB$16+'TE BF'!$AB$16+'TE CVA'!$AB$16,2)</f>
        <v>192.1</v>
      </c>
      <c r="T10" s="35">
        <v>0</v>
      </c>
      <c r="U10" s="35">
        <f ca="1">ROUND('TUSD BE'!$AM$26,2)</f>
        <v>672.63</v>
      </c>
      <c r="V10" s="35">
        <f>ROUND('TE BE'!$AB$16,2)</f>
        <v>201.6</v>
      </c>
    </row>
    <row r="11" spans="1:22" ht="11.25" customHeight="1" x14ac:dyDescent="0.25">
      <c r="A11" s="116"/>
      <c r="B11" s="116"/>
      <c r="C11" s="116"/>
      <c r="D11" s="37" t="s">
        <v>550</v>
      </c>
      <c r="E11" s="35">
        <v>0</v>
      </c>
      <c r="F11" s="35">
        <f ca="1">ROUND('TUSD BE'!$AM$12+'TUSD BF'!$AM$12+'TUSD CVA'!$AM$12,2)</f>
        <v>124.05</v>
      </c>
      <c r="G11" s="35">
        <f>ROUND('TE BE'!$AB$6+'TE BF'!$AB$6+'TE CVA'!$AB$6,2)</f>
        <v>192.1</v>
      </c>
      <c r="H11" s="35">
        <v>0</v>
      </c>
      <c r="I11" s="35">
        <f ca="1">ROUND('TUSD BE'!$AM$12,2)</f>
        <v>126.31</v>
      </c>
      <c r="J11" s="35">
        <f>ROUND('TE BE'!$AB$6,2)</f>
        <v>201.6</v>
      </c>
      <c r="L11" s="121"/>
      <c r="M11" s="37" t="s">
        <v>560</v>
      </c>
      <c r="N11" s="37" t="s">
        <v>556</v>
      </c>
      <c r="O11" s="37" t="s">
        <v>559</v>
      </c>
      <c r="P11" s="37" t="s">
        <v>552</v>
      </c>
      <c r="Q11" s="35">
        <v>0</v>
      </c>
      <c r="R11" s="35">
        <f ca="1">ROUND('TUSD BE'!$AM$21+'TUSD BF'!$AM$21+'TUSD CVA'!$AM$21,2)</f>
        <v>352.13</v>
      </c>
      <c r="S11" s="35">
        <f>ROUND('TE BE'!$AB$11+'TE BF'!$AB$11+'TE CVA'!$AB$11,2)</f>
        <v>192.1</v>
      </c>
      <c r="T11" s="35">
        <v>0</v>
      </c>
      <c r="U11" s="35">
        <f ca="1">ROUND('TUSD BE'!$AM$21,2)</f>
        <v>672.63</v>
      </c>
      <c r="V11" s="35">
        <f>ROUND('TE BE'!$AB$11,2)</f>
        <v>201.6</v>
      </c>
    </row>
    <row r="12" spans="1:22" ht="11.25" customHeight="1" x14ac:dyDescent="0.25">
      <c r="A12" s="116"/>
      <c r="B12" s="115" t="s">
        <v>553</v>
      </c>
      <c r="C12" s="115" t="s">
        <v>25</v>
      </c>
      <c r="D12" s="37" t="s">
        <v>552</v>
      </c>
      <c r="E12" s="35">
        <f ca="1">ROUND('TUSD BE'!$AM$10+'TUSD BF'!$AM$10+'TUSD CVA'!$AM$10,2)</f>
        <v>31.56</v>
      </c>
      <c r="F12" s="35">
        <v>0</v>
      </c>
      <c r="G12" s="35">
        <v>0</v>
      </c>
      <c r="H12" s="35">
        <f ca="1">ROUND('TUSD BE'!$AM$10,2)</f>
        <v>53.19</v>
      </c>
      <c r="I12" s="35">
        <v>0</v>
      </c>
      <c r="J12" s="35">
        <v>0</v>
      </c>
      <c r="L12" s="119" t="s">
        <v>31</v>
      </c>
      <c r="M12" s="119" t="s">
        <v>555</v>
      </c>
      <c r="N12" s="119" t="s">
        <v>561</v>
      </c>
      <c r="O12" s="119" t="s">
        <v>562</v>
      </c>
      <c r="P12" s="37" t="s">
        <v>549</v>
      </c>
      <c r="Q12" s="35">
        <v>0</v>
      </c>
      <c r="R12" s="35">
        <f ca="1">ROUND(('TUSD BE'!$AM$30+'TUSD BF'!$AM$30+'TUSD CVA'!$AM$30)*(1-CUSTOS!$M$38),2)</f>
        <v>1075.4000000000001</v>
      </c>
      <c r="S12" s="35">
        <f>ROUND(('TE BE'!$AB$20+'TE BF'!$AB$20+'TE CVA'!$AB$20)*(1-CUSTOS!$M$38),2)</f>
        <v>180.57</v>
      </c>
      <c r="T12" s="35">
        <v>0</v>
      </c>
      <c r="U12" s="35">
        <f ca="1">ROUND('TUSD BE'!$AM$30*(1-CUSTOS!$M$38),2)</f>
        <v>1964.96</v>
      </c>
      <c r="V12" s="35">
        <f>ROUND('TE BE'!$AB$20*(1-CUSTOS!$M$38),2)</f>
        <v>189.5</v>
      </c>
    </row>
    <row r="13" spans="1:22" ht="11.25" customHeight="1" x14ac:dyDescent="0.25">
      <c r="A13" s="116"/>
      <c r="B13" s="116"/>
      <c r="C13" s="116"/>
      <c r="D13" s="37" t="s">
        <v>549</v>
      </c>
      <c r="E13" s="35">
        <v>0</v>
      </c>
      <c r="F13" s="35">
        <f ca="1">ROUND('TUSD BE'!$AM$13+'TUSD BF'!$AM$13+'TUSD CVA'!$AM$13,2)</f>
        <v>2209.87</v>
      </c>
      <c r="G13" s="35">
        <v>0</v>
      </c>
      <c r="H13" s="35">
        <v>0</v>
      </c>
      <c r="I13" s="35">
        <f ca="1">ROUND('TUSD BE'!$AM$13,2)</f>
        <v>4062.82</v>
      </c>
      <c r="J13" s="35">
        <v>0</v>
      </c>
      <c r="L13" s="120"/>
      <c r="M13" s="120"/>
      <c r="N13" s="120"/>
      <c r="O13" s="120"/>
      <c r="P13" s="37" t="s">
        <v>557</v>
      </c>
      <c r="Q13" s="35">
        <v>0</v>
      </c>
      <c r="R13" s="35">
        <f ca="1">ROUND(('TUSD BE'!$AM$31+'TUSD BF'!$AM$31+'TUSD CVA'!$AM$31)*(1-CUSTOS!$M$38),2)</f>
        <v>701.12</v>
      </c>
      <c r="S13" s="35">
        <f>ROUND(('TE BE'!$AB$21+'TE BF'!$AB$21+'TE CVA'!$AB$21)*(1-CUSTOS!$M$38),2)</f>
        <v>180.57</v>
      </c>
      <c r="T13" s="35">
        <v>0</v>
      </c>
      <c r="U13" s="35">
        <f ca="1">ROUND('TUSD BE'!$AM$31*(1-CUSTOS!$M$38),2)</f>
        <v>1235.94</v>
      </c>
      <c r="V13" s="35">
        <f>ROUND('TE BE'!$AB$21*(1-CUSTOS!$M$38),2)</f>
        <v>189.5</v>
      </c>
    </row>
    <row r="14" spans="1:22" ht="11.25" customHeight="1" x14ac:dyDescent="0.25">
      <c r="A14" s="116"/>
      <c r="B14" s="116"/>
      <c r="C14" s="116"/>
      <c r="D14" s="37" t="s">
        <v>550</v>
      </c>
      <c r="E14" s="35">
        <v>0</v>
      </c>
      <c r="F14" s="35">
        <f ca="1">ROUND('TUSD BE'!$AM$14+'TUSD BF'!$AM$14+'TUSD CVA'!$AM$14,2)</f>
        <v>9.27</v>
      </c>
      <c r="G14" s="35">
        <v>0</v>
      </c>
      <c r="H14" s="35">
        <v>0</v>
      </c>
      <c r="I14" s="35">
        <f ca="1">ROUND('TUSD BE'!$AM$14,2)</f>
        <v>9.64</v>
      </c>
      <c r="J14" s="35">
        <v>0</v>
      </c>
      <c r="L14" s="120"/>
      <c r="M14" s="121"/>
      <c r="N14" s="121"/>
      <c r="O14" s="121"/>
      <c r="P14" s="37" t="s">
        <v>550</v>
      </c>
      <c r="Q14" s="35">
        <v>0</v>
      </c>
      <c r="R14" s="35">
        <f ca="1">ROUND(('TUSD BE'!$AM$32+'TUSD BF'!$AM$32+'TUSD CVA'!$AM$32)*(1-CUSTOS!$M$38),2)</f>
        <v>326.83999999999997</v>
      </c>
      <c r="S14" s="35">
        <f>ROUND(('TE BE'!$AB$22+'TE BF'!$AB$22+'TE CVA'!$AB$22)*(1-CUSTOS!$M$38),2)</f>
        <v>180.57</v>
      </c>
      <c r="T14" s="35">
        <v>0</v>
      </c>
      <c r="U14" s="35">
        <f ca="1">ROUND('TUSD BE'!$AM$32*(1-CUSTOS!$M$38),2)</f>
        <v>506.93</v>
      </c>
      <c r="V14" s="35">
        <f>ROUND('TE BE'!$AB$22*(1-CUSTOS!$M$38),2)</f>
        <v>189.5</v>
      </c>
    </row>
    <row r="15" spans="1:22" ht="11.25" customHeight="1" x14ac:dyDescent="0.25">
      <c r="A15" s="116"/>
      <c r="B15" s="37" t="s">
        <v>69</v>
      </c>
      <c r="C15" s="37" t="s">
        <v>25</v>
      </c>
      <c r="D15" s="37" t="s">
        <v>552</v>
      </c>
      <c r="E15" s="35">
        <f ca="1">ROUND('TUSD BE'!$AM$9+'TUSD BF'!$AM$9+'TUSD CVA'!$AM$9,2)</f>
        <v>5.5</v>
      </c>
      <c r="F15" s="35">
        <v>0</v>
      </c>
      <c r="G15" s="35">
        <v>0</v>
      </c>
      <c r="H15" s="35">
        <f ca="1">ROUND('TUSD BE'!$AM$9,2)</f>
        <v>15.12</v>
      </c>
      <c r="I15" s="35">
        <v>0</v>
      </c>
      <c r="J15" s="35">
        <v>0</v>
      </c>
      <c r="L15" s="120"/>
      <c r="M15" s="37" t="s">
        <v>558</v>
      </c>
      <c r="N15" s="37" t="s">
        <v>561</v>
      </c>
      <c r="O15" s="37" t="s">
        <v>562</v>
      </c>
      <c r="P15" s="37" t="s">
        <v>552</v>
      </c>
      <c r="Q15" s="35">
        <v>0</v>
      </c>
      <c r="R15" s="35">
        <f ca="1">ROUND(('TUSD BE'!$AM$42+'TUSD BF'!$AM$42+'TUSD CVA'!$AM$42)*(1-CUSTOS!$M$38),2)</f>
        <v>456.93</v>
      </c>
      <c r="S15" s="35">
        <f>ROUND(('TE BE'!$AB$32+'TE BF'!$AB$32+'TE CVA'!$AB$32)*(1-CUSTOS!$M$38),2)</f>
        <v>180.57</v>
      </c>
      <c r="T15" s="35">
        <v>0</v>
      </c>
      <c r="U15" s="35">
        <f ca="1">ROUND(('TUSD BE'!$AM$42)*(1-CUSTOS!$M$38),2)</f>
        <v>760.27</v>
      </c>
      <c r="V15" s="35">
        <f>ROUND(('TE BE'!$AB$32)*(1-CUSTOS!$M$38),2)</f>
        <v>189.5</v>
      </c>
    </row>
    <row r="16" spans="1:22" ht="11.25" customHeight="1" x14ac:dyDescent="0.25">
      <c r="L16" s="120"/>
      <c r="M16" s="37" t="s">
        <v>560</v>
      </c>
      <c r="N16" s="37" t="s">
        <v>561</v>
      </c>
      <c r="O16" s="37" t="s">
        <v>562</v>
      </c>
      <c r="P16" s="37" t="s">
        <v>552</v>
      </c>
      <c r="Q16" s="35">
        <v>0</v>
      </c>
      <c r="R16" s="35">
        <f ca="1">ROUND(('TUSD BE'!$AM$33+'TUSD BF'!$AM$33+'TUSD CVA'!$AM$33)*(1-CUSTOS!$M$38),2)</f>
        <v>456.93</v>
      </c>
      <c r="S16" s="35">
        <f>ROUND(('TE BE'!$AB$23+'TE BF'!$AB$23+'TE CVA'!$AB$23)*(1-CUSTOS!$M$38),2)</f>
        <v>180.57</v>
      </c>
      <c r="T16" s="35">
        <v>0</v>
      </c>
      <c r="U16" s="35">
        <f ca="1">ROUND(('TUSD BE'!$AM$33)*(1-CUSTOS!$M$38),2)</f>
        <v>760.27</v>
      </c>
      <c r="V16" s="35">
        <f>ROUND(('TE BE'!$AB$23)*(1-CUSTOS!$M$38),2)</f>
        <v>189.5</v>
      </c>
    </row>
    <row r="17" spans="12:22" ht="11.25" customHeight="1" x14ac:dyDescent="0.25">
      <c r="L17" s="120"/>
      <c r="M17" s="119" t="s">
        <v>555</v>
      </c>
      <c r="N17" s="119" t="s">
        <v>561</v>
      </c>
      <c r="O17" s="119" t="s">
        <v>563</v>
      </c>
      <c r="P17" s="37" t="s">
        <v>549</v>
      </c>
      <c r="Q17" s="35">
        <v>0</v>
      </c>
      <c r="R17" s="35">
        <f ca="1">ROUND(('TUSD BE'!$AM$34+'TUSD BF'!$AM$34+'TUSD CVA'!$AM$34)*(1-CUSTOS!$M$39),2)</f>
        <v>1075.4000000000001</v>
      </c>
      <c r="S17" s="35">
        <f>ROUND(('TE BE'!$AB$24+'TE BF'!$AB$24+'TE CVA'!$AB$24)*(1-CUSTOS!$M$39),2)</f>
        <v>180.57</v>
      </c>
      <c r="T17" s="35">
        <v>0</v>
      </c>
      <c r="U17" s="35">
        <f ca="1">ROUND('TUSD BE'!$AM$34*(1-CUSTOS!$M$39),2)</f>
        <v>1964.96</v>
      </c>
      <c r="V17" s="35">
        <f>ROUND('TE BE'!$AB$24*(1-CUSTOS!$M$39),2)</f>
        <v>189.5</v>
      </c>
    </row>
    <row r="18" spans="12:22" ht="11.25" customHeight="1" x14ac:dyDescent="0.25">
      <c r="L18" s="120"/>
      <c r="M18" s="120"/>
      <c r="N18" s="120"/>
      <c r="O18" s="120"/>
      <c r="P18" s="37" t="s">
        <v>557</v>
      </c>
      <c r="Q18" s="35">
        <v>0</v>
      </c>
      <c r="R18" s="35">
        <f ca="1">ROUND(('TUSD BE'!$AM$35+'TUSD BF'!$AM$35+'TUSD CVA'!$AM$35)*(1-CUSTOS!$M$39),2)</f>
        <v>701.12</v>
      </c>
      <c r="S18" s="35">
        <f>ROUND(('TE BE'!$AB$25+'TE BF'!$AB$25+'TE CVA'!$AB$25)*(1-CUSTOS!$M$39),2)</f>
        <v>180.57</v>
      </c>
      <c r="T18" s="35">
        <v>0</v>
      </c>
      <c r="U18" s="35">
        <f ca="1">ROUND('TUSD BE'!$AM$35*(1-CUSTOS!$M$39),2)</f>
        <v>1235.94</v>
      </c>
      <c r="V18" s="35">
        <f>ROUND('TE BE'!$AB$25*(1-CUSTOS!$M$39),2)</f>
        <v>189.5</v>
      </c>
    </row>
    <row r="19" spans="12:22" ht="11.25" customHeight="1" x14ac:dyDescent="0.25">
      <c r="L19" s="120"/>
      <c r="M19" s="121"/>
      <c r="N19" s="121"/>
      <c r="O19" s="121"/>
      <c r="P19" s="37" t="s">
        <v>550</v>
      </c>
      <c r="Q19" s="35">
        <v>0</v>
      </c>
      <c r="R19" s="35">
        <f ca="1">ROUND(('TUSD BE'!$AM$36+'TUSD BF'!$AM$36+'TUSD CVA'!$AM$36)*(1-CUSTOS!$M$39),2)</f>
        <v>326.83999999999997</v>
      </c>
      <c r="S19" s="35">
        <f>ROUND(('TE BE'!$AB$26+'TE BF'!$AB$26+'TE CVA'!$AB$26)*(1-CUSTOS!$M$39),2)</f>
        <v>180.57</v>
      </c>
      <c r="T19" s="35">
        <v>0</v>
      </c>
      <c r="U19" s="35">
        <f ca="1">ROUND('TUSD BE'!$AM$36*(1-CUSTOS!$M$39),2)</f>
        <v>506.93</v>
      </c>
      <c r="V19" s="35">
        <f>ROUND('TE BE'!$AB$26*(1-CUSTOS!$M$39),2)</f>
        <v>189.5</v>
      </c>
    </row>
    <row r="20" spans="12:22" ht="11.25" customHeight="1" x14ac:dyDescent="0.25">
      <c r="L20" s="120"/>
      <c r="M20" s="37" t="s">
        <v>558</v>
      </c>
      <c r="N20" s="37" t="s">
        <v>561</v>
      </c>
      <c r="O20" s="37" t="s">
        <v>563</v>
      </c>
      <c r="P20" s="37" t="s">
        <v>552</v>
      </c>
      <c r="Q20" s="35">
        <v>0</v>
      </c>
      <c r="R20" s="35">
        <f ca="1">ROUND(('TUSD BE'!$AM$42+'TUSD BF'!$AM$42+'TUSD CVA'!$AM$42)*(1-CUSTOS!$M$39),2)</f>
        <v>456.93</v>
      </c>
      <c r="S20" s="35">
        <f>ROUND(('TE BE'!$AB$32+'TE BF'!$AB$32+'TE CVA'!$AB$32)*(1-CUSTOS!$M$39),2)</f>
        <v>180.57</v>
      </c>
      <c r="T20" s="35">
        <v>0</v>
      </c>
      <c r="U20" s="35">
        <f ca="1">ROUND(('TUSD BE'!$AM$42)*(1-CUSTOS!$M$39),2)</f>
        <v>760.27</v>
      </c>
      <c r="V20" s="35">
        <f>ROUND(('TE BE'!$AB$32)*(1-CUSTOS!$M$39),2)</f>
        <v>189.5</v>
      </c>
    </row>
    <row r="21" spans="12:22" ht="11.25" customHeight="1" x14ac:dyDescent="0.25">
      <c r="L21" s="120"/>
      <c r="M21" s="37" t="s">
        <v>560</v>
      </c>
      <c r="N21" s="37" t="s">
        <v>561</v>
      </c>
      <c r="O21" s="37" t="s">
        <v>563</v>
      </c>
      <c r="P21" s="37" t="s">
        <v>552</v>
      </c>
      <c r="Q21" s="35">
        <v>0</v>
      </c>
      <c r="R21" s="35">
        <f ca="1">ROUND(('TUSD BE'!$AM$33+'TUSD BF'!$AM$33+'TUSD CVA'!$AM$33)*(1-CUSTOS!$M$39),2)</f>
        <v>456.93</v>
      </c>
      <c r="S21" s="35">
        <f>ROUND(('TE BE'!$AB$23+'TE BF'!$AB$23+'TE CVA'!$AB$23)*(1-CUSTOS!$M$39),2)</f>
        <v>180.57</v>
      </c>
      <c r="T21" s="35">
        <v>0</v>
      </c>
      <c r="U21" s="35">
        <f ca="1">ROUND(('TUSD BE'!$AM$33)*(1-CUSTOS!$M$39),2)</f>
        <v>760.27</v>
      </c>
      <c r="V21" s="35">
        <f>ROUND(('TE BE'!$AB$23)*(1-CUSTOS!$M$39),2)</f>
        <v>189.5</v>
      </c>
    </row>
    <row r="22" spans="12:22" ht="11.25" customHeight="1" x14ac:dyDescent="0.25">
      <c r="L22" s="120"/>
      <c r="M22" s="119" t="s">
        <v>555</v>
      </c>
      <c r="N22" s="119" t="s">
        <v>561</v>
      </c>
      <c r="O22" s="119" t="s">
        <v>564</v>
      </c>
      <c r="P22" s="37" t="s">
        <v>549</v>
      </c>
      <c r="Q22" s="35">
        <v>0</v>
      </c>
      <c r="R22" s="35">
        <f ca="1">ROUND(('TUSD BE'!$AM$38+'TUSD BF'!$AM$38+'TUSD CVA'!$AM$38)*(1-CUSTOS!$M$40),2)</f>
        <v>1052.52</v>
      </c>
      <c r="S22" s="35">
        <f>ROUND(('TE BE'!$AB$28+'TE BF'!$AB$28+'TE CVA'!$AB$28)*(1-CUSTOS!$M$40),2)</f>
        <v>176.73</v>
      </c>
      <c r="T22" s="35">
        <v>0</v>
      </c>
      <c r="U22" s="35">
        <f ca="1">ROUND('TUSD BE'!$AM$38*(1-CUSTOS!$M$40),2)</f>
        <v>1923.15</v>
      </c>
      <c r="V22" s="35">
        <f>ROUND('TE BE'!$AB$28*(1-CUSTOS!$M$40),2)</f>
        <v>185.47</v>
      </c>
    </row>
    <row r="23" spans="12:22" ht="11.25" customHeight="1" x14ac:dyDescent="0.25">
      <c r="L23" s="120"/>
      <c r="M23" s="120"/>
      <c r="N23" s="120"/>
      <c r="O23" s="120"/>
      <c r="P23" s="37" t="s">
        <v>557</v>
      </c>
      <c r="Q23" s="35">
        <v>0</v>
      </c>
      <c r="R23" s="35">
        <f ca="1">ROUND(('TUSD BE'!$AM$39+'TUSD BF'!$AM$39+'TUSD CVA'!$AM$39)*(1-CUSTOS!$M$40),2)</f>
        <v>686.2</v>
      </c>
      <c r="S23" s="35">
        <f>ROUND(('TE BE'!$AB$29+'TE BF'!$AB$29+'TE CVA'!$AB$29)*(1-CUSTOS!$M$40),2)</f>
        <v>176.73</v>
      </c>
      <c r="T23" s="35">
        <v>0</v>
      </c>
      <c r="U23" s="35">
        <f ca="1">ROUND('TUSD BE'!$AM$39*(1-CUSTOS!$M$40),2)</f>
        <v>1209.6500000000001</v>
      </c>
      <c r="V23" s="35">
        <f>ROUND('TE BE'!$AB$29*(1-CUSTOS!$M$40),2)</f>
        <v>185.47</v>
      </c>
    </row>
    <row r="24" spans="12:22" ht="11.25" customHeight="1" x14ac:dyDescent="0.25">
      <c r="L24" s="120"/>
      <c r="M24" s="121"/>
      <c r="N24" s="121"/>
      <c r="O24" s="121"/>
      <c r="P24" s="37" t="s">
        <v>550</v>
      </c>
      <c r="Q24" s="35">
        <v>0</v>
      </c>
      <c r="R24" s="35">
        <f ca="1">ROUND(('TUSD BE'!$AM$40+'TUSD BF'!$AM$40+'TUSD CVA'!$AM$40)*(1-CUSTOS!$M$40),2)</f>
        <v>319.88</v>
      </c>
      <c r="S24" s="35">
        <f>ROUND(('TE BE'!$AB$30+'TE BF'!$AB$30+'TE CVA'!$AB$30)*(1-CUSTOS!$M$40),2)</f>
        <v>176.73</v>
      </c>
      <c r="T24" s="35">
        <v>0</v>
      </c>
      <c r="U24" s="35">
        <f ca="1">ROUND('TUSD BE'!$AM$40*(1-CUSTOS!$M$40),2)</f>
        <v>496.14</v>
      </c>
      <c r="V24" s="35">
        <f>ROUND('TE BE'!$AB$30*(1-CUSTOS!$M$40),2)</f>
        <v>185.47</v>
      </c>
    </row>
    <row r="25" spans="12:22" ht="11.25" customHeight="1" x14ac:dyDescent="0.25">
      <c r="L25" s="120"/>
      <c r="M25" s="37" t="s">
        <v>558</v>
      </c>
      <c r="N25" s="37" t="s">
        <v>561</v>
      </c>
      <c r="O25" s="37" t="s">
        <v>564</v>
      </c>
      <c r="P25" s="37" t="s">
        <v>552</v>
      </c>
      <c r="Q25" s="35">
        <v>0</v>
      </c>
      <c r="R25" s="35">
        <f ca="1">ROUND(('TUSD BE'!$AM$42+'TUSD BF'!$AM$42+'TUSD CVA'!$AM$42)*(1-CUSTOS!$M$40),2)</f>
        <v>447.2</v>
      </c>
      <c r="S25" s="35">
        <f>ROUND(('TE BE'!$AB$32+'TE BF'!$AB$32+'TE CVA'!$AB$32)*(1-CUSTOS!$M$40),2)</f>
        <v>176.73</v>
      </c>
      <c r="T25" s="35">
        <v>0</v>
      </c>
      <c r="U25" s="35">
        <f ca="1">ROUND(('TUSD BE'!$AM$42)*(1-CUSTOS!$M$40),2)</f>
        <v>744.1</v>
      </c>
      <c r="V25" s="35">
        <f>ROUND(('TE BE'!$AB$32)*(1-CUSTOS!$M$40),2)</f>
        <v>185.47</v>
      </c>
    </row>
    <row r="26" spans="12:22" ht="11.25" customHeight="1" x14ac:dyDescent="0.25">
      <c r="L26" s="121"/>
      <c r="M26" s="37" t="s">
        <v>560</v>
      </c>
      <c r="N26" s="37" t="s">
        <v>561</v>
      </c>
      <c r="O26" s="37" t="s">
        <v>564</v>
      </c>
      <c r="P26" s="37" t="s">
        <v>552</v>
      </c>
      <c r="Q26" s="35">
        <v>0</v>
      </c>
      <c r="R26" s="35">
        <f ca="1">ROUND(('TUSD BE'!$AM$33+'TUSD BF'!$AM$33+'TUSD CVA'!$AM$33)*(1-CUSTOS!$M$40),2)</f>
        <v>447.2</v>
      </c>
      <c r="S26" s="35">
        <f>ROUND(('TE BE'!$AB$23+'TE BF'!$AB$23+'TE CVA'!$AB$23)*(1-CUSTOS!$M$40),2)</f>
        <v>176.73</v>
      </c>
      <c r="T26" s="35">
        <v>0</v>
      </c>
      <c r="U26" s="35">
        <f ca="1">ROUND(('TUSD BE'!$AM$33)*(1-CUSTOS!$M$40),2)</f>
        <v>744.1</v>
      </c>
      <c r="V26" s="35">
        <f>ROUND(('TE BE'!$AB$23)*(1-CUSTOS!$M$40),2)</f>
        <v>185.47</v>
      </c>
    </row>
    <row r="27" spans="12:22" ht="11.25" customHeight="1" x14ac:dyDescent="0.25">
      <c r="L27" s="119" t="s">
        <v>28</v>
      </c>
      <c r="M27" s="119" t="s">
        <v>555</v>
      </c>
      <c r="N27" s="119" t="s">
        <v>552</v>
      </c>
      <c r="O27" s="119" t="s">
        <v>552</v>
      </c>
      <c r="P27" s="37" t="s">
        <v>549</v>
      </c>
      <c r="Q27" s="35">
        <v>0</v>
      </c>
      <c r="R27" s="35">
        <f ca="1">ROUND(('TUSD BE'!$AM$45+'TUSD BF'!$AM$45+'TUSD CVA'!$AM$45)*(1-CUSTOS!$M$31),2)</f>
        <v>1312.86</v>
      </c>
      <c r="S27" s="35">
        <f>ROUND(('TE BE'!$AB$35+'TE BF'!$AB$35+'TE CVA'!$AB$35)*(1-CUSTOS!$M$31),2)</f>
        <v>192.1</v>
      </c>
      <c r="T27" s="35">
        <v>0</v>
      </c>
      <c r="U27" s="35">
        <f ca="1">ROUND('TUSD BE'!$AM$45*(1-CUSTOS!$M$31),2)</f>
        <v>2419.11</v>
      </c>
      <c r="V27" s="35">
        <f>ROUND('TE BE'!$AB$35*(1-CUSTOS!$M$31),2)</f>
        <v>201.6</v>
      </c>
    </row>
    <row r="28" spans="12:22" ht="11.25" customHeight="1" x14ac:dyDescent="0.25">
      <c r="L28" s="120"/>
      <c r="M28" s="120"/>
      <c r="N28" s="120"/>
      <c r="O28" s="120"/>
      <c r="P28" s="37" t="s">
        <v>557</v>
      </c>
      <c r="Q28" s="35">
        <v>0</v>
      </c>
      <c r="R28" s="35">
        <f ca="1">ROUND(('TUSD BE'!$AM$46+'TUSD BF'!$AM$46+'TUSD CVA'!$AM$46)*(1-CUSTOS!$M$31),2)</f>
        <v>847.13</v>
      </c>
      <c r="S28" s="35">
        <f>ROUND(('TE BE'!$AB$36+'TE BF'!$AB$36+'TE CVA'!$AB$36)*(1-CUSTOS!$M$31),2)</f>
        <v>192.1</v>
      </c>
      <c r="T28" s="35">
        <v>0</v>
      </c>
      <c r="U28" s="35">
        <f ca="1">ROUND('TUSD BE'!$AM$46*(1-CUSTOS!$M$31),2)</f>
        <v>1512.04</v>
      </c>
      <c r="V28" s="35">
        <f>ROUND('TE BE'!$AB$36*(1-CUSTOS!$M$31),2)</f>
        <v>201.6</v>
      </c>
    </row>
    <row r="29" spans="12:22" ht="11.25" customHeight="1" x14ac:dyDescent="0.25">
      <c r="L29" s="120"/>
      <c r="M29" s="121"/>
      <c r="N29" s="121"/>
      <c r="O29" s="121"/>
      <c r="P29" s="37" t="s">
        <v>550</v>
      </c>
      <c r="Q29" s="35">
        <v>0</v>
      </c>
      <c r="R29" s="35">
        <f ca="1">ROUND(('TUSD BE'!$AM$47+'TUSD BF'!$AM$47+'TUSD CVA'!$AM$47)*(1-CUSTOS!$M$31),2)</f>
        <v>381.48</v>
      </c>
      <c r="S29" s="35">
        <f>ROUND(('TE BE'!$AB$37+'TE BF'!$AB$37+'TE CVA'!$AB$37)*(1-CUSTOS!$M$31),2)</f>
        <v>192.1</v>
      </c>
      <c r="T29" s="35">
        <v>0</v>
      </c>
      <c r="U29" s="35">
        <f ca="1">ROUND('TUSD BE'!$AM$47*(1-CUSTOS!$M$31),2)</f>
        <v>605.04999999999995</v>
      </c>
      <c r="V29" s="35">
        <f>ROUND('TE BE'!$AB$37*(1-CUSTOS!$M$31),2)</f>
        <v>201.6</v>
      </c>
    </row>
    <row r="30" spans="12:22" ht="11.25" customHeight="1" x14ac:dyDescent="0.25">
      <c r="L30" s="120"/>
      <c r="M30" s="37" t="s">
        <v>558</v>
      </c>
      <c r="N30" s="37" t="s">
        <v>552</v>
      </c>
      <c r="O30" s="37" t="s">
        <v>552</v>
      </c>
      <c r="P30" s="37" t="s">
        <v>552</v>
      </c>
      <c r="Q30" s="35">
        <v>0</v>
      </c>
      <c r="R30" s="35">
        <f ca="1">ROUND(('TUSD BE'!$AM$49+'TUSD BF'!$AM$49+'TUSD CVA'!$AM$49)*(1-CUSTOS!$M$31),2)</f>
        <v>486.09</v>
      </c>
      <c r="S30" s="35">
        <f>ROUND(('TE BE'!$AB$39+'TE BF'!$AB$39+'TE CVA'!$AB$39)*(1-CUSTOS!$M$31),2)</f>
        <v>192.1</v>
      </c>
      <c r="T30" s="35">
        <v>0</v>
      </c>
      <c r="U30" s="35">
        <f ca="1">ROUND(('TUSD BE'!$AM$49)*(1-CUSTOS!$M$31),2)</f>
        <v>808.8</v>
      </c>
      <c r="V30" s="35">
        <f>ROUND(('TE BE'!$AB$39)*(1-CUSTOS!$M$31),2)</f>
        <v>201.6</v>
      </c>
    </row>
    <row r="31" spans="12:22" ht="11.25" customHeight="1" x14ac:dyDescent="0.25">
      <c r="L31" s="121"/>
      <c r="M31" s="37" t="s">
        <v>560</v>
      </c>
      <c r="N31" s="37" t="s">
        <v>552</v>
      </c>
      <c r="O31" s="37" t="s">
        <v>552</v>
      </c>
      <c r="P31" s="37" t="s">
        <v>552</v>
      </c>
      <c r="Q31" s="35">
        <v>0</v>
      </c>
      <c r="R31" s="35">
        <f ca="1">ROUND(('TUSD BE'!$AM$48+'TUSD BF'!$AM$48+'TUSD CVA'!$AM$48)*(1-CUSTOS!$M$31),2)</f>
        <v>486.09</v>
      </c>
      <c r="S31" s="35">
        <f>ROUND(('TE BE'!$AB$38+'TE BF'!$AB$38+'TE CVA'!$AB$38)*(1-CUSTOS!$M$31),2)</f>
        <v>192.1</v>
      </c>
      <c r="T31" s="35">
        <v>0</v>
      </c>
      <c r="U31" s="35">
        <f ca="1">ROUND(('TUSD BE'!$AM$48)*(1-CUSTOS!$M$31),2)</f>
        <v>808.8</v>
      </c>
      <c r="V31" s="35">
        <f>ROUND(('TE BE'!$AB$38)*(1-CUSTOS!$M$31),2)</f>
        <v>201.6</v>
      </c>
    </row>
    <row r="32" spans="12:22" ht="11.25" customHeight="1" x14ac:dyDescent="0.25">
      <c r="L32" s="119" t="s">
        <v>34</v>
      </c>
      <c r="M32" s="119" t="s">
        <v>560</v>
      </c>
      <c r="N32" s="119" t="s">
        <v>565</v>
      </c>
      <c r="O32" s="37" t="s">
        <v>566</v>
      </c>
      <c r="P32" s="37" t="s">
        <v>552</v>
      </c>
      <c r="Q32" s="35">
        <v>0</v>
      </c>
      <c r="R32" s="35">
        <f ca="1">ROUND(('TUSD BE'!$AM$50+'TUSD BF'!$AM$50+'TUSD CVA'!$AM$50),2)</f>
        <v>267.35000000000002</v>
      </c>
      <c r="S32" s="35">
        <f>ROUND(('TE BE'!$AB$40+'TE BF'!$AB$40+'TE CVA'!$AB$40),2)</f>
        <v>105.66</v>
      </c>
      <c r="T32" s="35">
        <v>0</v>
      </c>
      <c r="U32" s="35">
        <f ca="1">ROUND(('TUSD BE'!$AM$50),2)</f>
        <v>444.84</v>
      </c>
      <c r="V32" s="35">
        <f>ROUND(('TE BE'!$AB$40),2)</f>
        <v>110.88</v>
      </c>
    </row>
    <row r="33" spans="12:22" ht="11.25" customHeight="1" x14ac:dyDescent="0.25">
      <c r="L33" s="121"/>
      <c r="M33" s="121"/>
      <c r="N33" s="121"/>
      <c r="O33" s="37" t="s">
        <v>567</v>
      </c>
      <c r="P33" s="37" t="s">
        <v>552</v>
      </c>
      <c r="Q33" s="35">
        <v>0</v>
      </c>
      <c r="R33" s="35">
        <f ca="1">ROUND(('TUSD BE'!$AM$51+'TUSD BF'!$AM$51+'TUSD CVA'!$AM$51),2)</f>
        <v>291.64999999999998</v>
      </c>
      <c r="S33" s="35">
        <f>ROUND(('TE BE'!$AB$41+'TE BF'!$AB$41+'TE CVA'!$AB$41),2)</f>
        <v>115.26</v>
      </c>
      <c r="T33" s="35">
        <v>0</v>
      </c>
      <c r="U33" s="35">
        <f ca="1">ROUND(('TUSD BE'!$AM$51),2)</f>
        <v>485.28</v>
      </c>
      <c r="V33" s="35">
        <f>ROUND(('TE BE'!$AB$41),2)</f>
        <v>120.96</v>
      </c>
    </row>
    <row r="34" spans="12:22" ht="11.25" customHeight="1" x14ac:dyDescent="0.25">
      <c r="L34" s="119" t="s">
        <v>71</v>
      </c>
      <c r="M34" s="119" t="s">
        <v>568</v>
      </c>
      <c r="N34" s="37" t="s">
        <v>72</v>
      </c>
      <c r="O34" s="37" t="s">
        <v>552</v>
      </c>
      <c r="P34" s="37" t="s">
        <v>552</v>
      </c>
      <c r="Q34" s="35">
        <f ca="1">ROUND(('TUSD BE'!$AM$15+'TUSD BF'!$AM$15+'TUSD CVA'!$AM$15),2)</f>
        <v>5.67</v>
      </c>
      <c r="R34" s="35">
        <v>0</v>
      </c>
      <c r="S34" s="35">
        <v>0</v>
      </c>
      <c r="T34" s="35">
        <f ca="1">ROUND(('TUSD BE'!$AM$15),2)</f>
        <v>15.6</v>
      </c>
      <c r="U34" s="35">
        <v>0</v>
      </c>
      <c r="V34" s="35">
        <v>0</v>
      </c>
    </row>
    <row r="35" spans="12:22" ht="11.25" customHeight="1" x14ac:dyDescent="0.25">
      <c r="L35" s="121"/>
      <c r="M35" s="121"/>
      <c r="N35" s="37" t="s">
        <v>73</v>
      </c>
      <c r="O35" s="37" t="s">
        <v>552</v>
      </c>
      <c r="P35" s="37" t="s">
        <v>552</v>
      </c>
      <c r="Q35" s="35">
        <f ca="1">ROUND(('TUSD BE'!$AM$16+'TUSD BF'!$AM$16+'TUSD CVA'!$AM$16),2)</f>
        <v>11.52</v>
      </c>
      <c r="R35" s="35">
        <v>0</v>
      </c>
      <c r="S35" s="35">
        <v>0</v>
      </c>
      <c r="T35" s="35">
        <f ca="1">ROUND(('TUSD BE'!$AM$16),2)</f>
        <v>31.73</v>
      </c>
      <c r="U35" s="35">
        <v>0</v>
      </c>
      <c r="V35" s="35">
        <v>0</v>
      </c>
    </row>
  </sheetData>
  <mergeCells count="51">
    <mergeCell ref="O5:O7"/>
    <mergeCell ref="O12:O14"/>
    <mergeCell ref="O17:O19"/>
    <mergeCell ref="O22:O24"/>
    <mergeCell ref="O27:O29"/>
    <mergeCell ref="N17:N19"/>
    <mergeCell ref="N22:N24"/>
    <mergeCell ref="N27:N29"/>
    <mergeCell ref="N32:N33"/>
    <mergeCell ref="M5:M7"/>
    <mergeCell ref="M12:M14"/>
    <mergeCell ref="M17:M19"/>
    <mergeCell ref="M22:M24"/>
    <mergeCell ref="M27:M29"/>
    <mergeCell ref="L27:L31"/>
    <mergeCell ref="L32:L33"/>
    <mergeCell ref="L34:L35"/>
    <mergeCell ref="M32:M33"/>
    <mergeCell ref="M34:M35"/>
    <mergeCell ref="B9:B11"/>
    <mergeCell ref="B12:B14"/>
    <mergeCell ref="L1:V1"/>
    <mergeCell ref="L2:L4"/>
    <mergeCell ref="M2:M4"/>
    <mergeCell ref="N2:N4"/>
    <mergeCell ref="O2:O4"/>
    <mergeCell ref="P2:P4"/>
    <mergeCell ref="Q2:S2"/>
    <mergeCell ref="Q3:R3"/>
    <mergeCell ref="T2:V2"/>
    <mergeCell ref="T3:U3"/>
    <mergeCell ref="L5:L11"/>
    <mergeCell ref="L12:L26"/>
    <mergeCell ref="N5:N7"/>
    <mergeCell ref="N12:N14"/>
    <mergeCell ref="C5:C6"/>
    <mergeCell ref="C7:C8"/>
    <mergeCell ref="C9:C11"/>
    <mergeCell ref="C12:C14"/>
    <mergeCell ref="A1:J1"/>
    <mergeCell ref="A2:A4"/>
    <mergeCell ref="B2:B4"/>
    <mergeCell ref="C2:C4"/>
    <mergeCell ref="D2:D4"/>
    <mergeCell ref="E2:G2"/>
    <mergeCell ref="E3:F3"/>
    <mergeCell ref="H2:J2"/>
    <mergeCell ref="H3:I3"/>
    <mergeCell ref="A5:A15"/>
    <mergeCell ref="B5:B6"/>
    <mergeCell ref="B7:B8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45DA-64DB-4B16-BF59-1AEB191DDD98}">
  <sheetPr codeName="Planilha21"/>
  <dimension ref="A1:AN174"/>
  <sheetViews>
    <sheetView showGridLines="0" topLeftCell="A2" workbookViewId="0">
      <selection activeCell="G47" sqref="G47"/>
    </sheetView>
  </sheetViews>
  <sheetFormatPr defaultColWidth="9.140625" defaultRowHeight="11.25" customHeight="1" x14ac:dyDescent="0.25"/>
  <cols>
    <col min="1" max="1" width="19.140625" style="4" bestFit="1" customWidth="1"/>
    <col min="2" max="2" width="8.7109375" style="4" bestFit="1" customWidth="1"/>
    <col min="3" max="3" width="10.28515625" style="4" bestFit="1" customWidth="1"/>
    <col min="4" max="4" width="13.5703125" style="4" bestFit="1" customWidth="1"/>
    <col min="5" max="5" width="25.140625" style="4" bestFit="1" customWidth="1"/>
    <col min="6" max="8" width="10.28515625" style="4" bestFit="1" customWidth="1"/>
    <col min="9" max="9" width="8.7109375" style="5" bestFit="1" customWidth="1"/>
    <col min="10" max="10" width="10.140625" style="6" bestFit="1" customWidth="1"/>
    <col min="11" max="11" width="10.5703125" style="6" bestFit="1" customWidth="1"/>
    <col min="12" max="12" width="9.42578125" style="6" bestFit="1" customWidth="1"/>
    <col min="13" max="13" width="13.7109375" style="6" bestFit="1" customWidth="1"/>
    <col min="14" max="14" width="14.140625" style="6" bestFit="1" customWidth="1"/>
    <col min="15" max="15" width="12.85546875" style="6" bestFit="1" customWidth="1"/>
    <col min="16" max="16" width="7" style="6" bestFit="1" customWidth="1"/>
    <col min="17" max="17" width="9.28515625" style="4" bestFit="1" customWidth="1"/>
    <col min="18" max="18" width="18.85546875" style="4" bestFit="1" customWidth="1"/>
    <col min="19" max="19" width="20.28515625" style="4" bestFit="1" customWidth="1"/>
    <col min="20" max="20" width="18.140625" style="4" bestFit="1" customWidth="1"/>
    <col min="21" max="21" width="17" style="4" bestFit="1" customWidth="1"/>
    <col min="22" max="22" width="18.5703125" style="4" bestFit="1" customWidth="1"/>
    <col min="23" max="23" width="16.28515625" style="4" bestFit="1" customWidth="1"/>
    <col min="24" max="24" width="16.7109375" style="4" bestFit="1" customWidth="1"/>
    <col min="25" max="25" width="18.28515625" style="4" bestFit="1" customWidth="1"/>
    <col min="26" max="26" width="16" style="4" bestFit="1" customWidth="1"/>
    <col min="27" max="27" width="16.85546875" style="4" bestFit="1" customWidth="1"/>
    <col min="28" max="28" width="18.42578125" style="4" bestFit="1" customWidth="1"/>
    <col min="29" max="29" width="16.140625" style="4" bestFit="1" customWidth="1"/>
    <col min="30" max="30" width="17.28515625" style="4" bestFit="1" customWidth="1"/>
    <col min="31" max="31" width="21.5703125" style="4" bestFit="1" customWidth="1"/>
    <col min="32" max="32" width="11.42578125" style="4" bestFit="1" customWidth="1"/>
    <col min="33" max="33" width="12.85546875" style="4" bestFit="1" customWidth="1"/>
    <col min="34" max="34" width="10.7109375" style="4" bestFit="1" customWidth="1"/>
    <col min="35" max="35" width="11.7109375" style="4" bestFit="1" customWidth="1"/>
    <col min="36" max="36" width="16" style="4" bestFit="1" customWidth="1"/>
    <col min="37" max="37" width="9.140625" style="4"/>
    <col min="38" max="38" width="8.7109375" style="4" bestFit="1" customWidth="1"/>
    <col min="39" max="39" width="5.5703125" style="4" bestFit="1" customWidth="1"/>
    <col min="40" max="40" width="14.7109375" style="4" bestFit="1" customWidth="1"/>
    <col min="41" max="16384" width="9.140625" style="4"/>
  </cols>
  <sheetData>
    <row r="1" spans="1:40" s="1" customFormat="1" ht="11.25" customHeight="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59" t="s">
        <v>8</v>
      </c>
      <c r="J1" s="36" t="s">
        <v>515</v>
      </c>
      <c r="K1" s="36" t="s">
        <v>516</v>
      </c>
      <c r="L1" s="36" t="s">
        <v>517</v>
      </c>
      <c r="M1" s="36" t="s">
        <v>518</v>
      </c>
      <c r="N1" s="36" t="s">
        <v>519</v>
      </c>
      <c r="O1" s="36" t="s">
        <v>520</v>
      </c>
      <c r="P1" s="7"/>
      <c r="Q1" s="113" t="s">
        <v>521</v>
      </c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L1" s="40" t="s">
        <v>542</v>
      </c>
      <c r="AM1" s="40" t="s">
        <v>46</v>
      </c>
      <c r="AN1" s="40" t="s">
        <v>543</v>
      </c>
    </row>
    <row r="2" spans="1:40" ht="11.25" customHeight="1" x14ac:dyDescent="0.2">
      <c r="A2" s="41" t="s">
        <v>21</v>
      </c>
      <c r="B2" s="41" t="s">
        <v>22</v>
      </c>
      <c r="C2" s="41" t="s">
        <v>23</v>
      </c>
      <c r="D2" s="41" t="s">
        <v>24</v>
      </c>
      <c r="E2" s="41" t="s">
        <v>24</v>
      </c>
      <c r="F2" s="41" t="s">
        <v>25</v>
      </c>
      <c r="G2" s="41" t="s">
        <v>25</v>
      </c>
      <c r="H2" s="41" t="s">
        <v>25</v>
      </c>
      <c r="I2" s="60">
        <v>44501</v>
      </c>
      <c r="J2" s="61">
        <f>EFEITO!$J$2*EFEITO!$Y$2</f>
        <v>0</v>
      </c>
      <c r="K2" s="61">
        <f ca="1">EFEITO!$L$2*EFEITO!$Z$2</f>
        <v>126632.21972501291</v>
      </c>
      <c r="L2" s="61">
        <f>EFEITO!$N$2*EFEITO!$AA$2</f>
        <v>50044.344315399874</v>
      </c>
      <c r="M2" s="61">
        <f>$J$2-EFEITO!$K$2*EFEITO!$Y$2</f>
        <v>0</v>
      </c>
      <c r="N2" s="61">
        <f ca="1">$K$2-EFEITO!$M$2*EFEITO!$Z$2</f>
        <v>0</v>
      </c>
      <c r="O2" s="61">
        <f>$L$2-EFEITO!$O$2*EFEITO!$AA$2</f>
        <v>0</v>
      </c>
      <c r="P2" s="45"/>
      <c r="Q2" s="34" t="s">
        <v>49</v>
      </c>
      <c r="R2" s="34" t="s">
        <v>523</v>
      </c>
      <c r="S2" s="34" t="s">
        <v>524</v>
      </c>
      <c r="T2" s="34" t="s">
        <v>525</v>
      </c>
      <c r="U2" s="34" t="s">
        <v>526</v>
      </c>
      <c r="V2" s="34" t="s">
        <v>527</v>
      </c>
      <c r="W2" s="34" t="s">
        <v>528</v>
      </c>
      <c r="X2" s="62" t="s">
        <v>529</v>
      </c>
      <c r="Y2" s="62" t="s">
        <v>530</v>
      </c>
      <c r="Z2" s="62" t="s">
        <v>531</v>
      </c>
      <c r="AA2" s="62" t="s">
        <v>532</v>
      </c>
      <c r="AB2" s="62" t="s">
        <v>533</v>
      </c>
      <c r="AC2" s="62" t="s">
        <v>534</v>
      </c>
      <c r="AD2" s="62" t="s">
        <v>535</v>
      </c>
      <c r="AE2" s="62" t="s">
        <v>536</v>
      </c>
      <c r="AF2" s="62" t="s">
        <v>537</v>
      </c>
      <c r="AG2" s="62" t="s">
        <v>538</v>
      </c>
      <c r="AH2" s="62" t="s">
        <v>539</v>
      </c>
      <c r="AI2" s="62" t="s">
        <v>540</v>
      </c>
      <c r="AJ2" s="62" t="s">
        <v>541</v>
      </c>
      <c r="AL2" s="41"/>
      <c r="AM2" s="41"/>
      <c r="AN2" s="41"/>
    </row>
    <row r="3" spans="1:40" ht="11.25" customHeight="1" x14ac:dyDescent="0.2">
      <c r="A3" s="41" t="s">
        <v>27</v>
      </c>
      <c r="B3" s="41" t="s">
        <v>22</v>
      </c>
      <c r="C3" s="41" t="s">
        <v>23</v>
      </c>
      <c r="D3" s="41" t="s">
        <v>24</v>
      </c>
      <c r="E3" s="41" t="s">
        <v>24</v>
      </c>
      <c r="F3" s="41" t="s">
        <v>25</v>
      </c>
      <c r="G3" s="41" t="s">
        <v>25</v>
      </c>
      <c r="H3" s="41" t="s">
        <v>25</v>
      </c>
      <c r="I3" s="60">
        <v>44501</v>
      </c>
      <c r="J3" s="61">
        <f>EFEITO!$J$3*EFEITO!$Y$3</f>
        <v>0</v>
      </c>
      <c r="K3" s="61">
        <f ca="1">EFEITO!$L$3*EFEITO!$Z$3</f>
        <v>3255.8418174976737</v>
      </c>
      <c r="L3" s="61">
        <f>EFEITO!$N$3*EFEITO!$AA$3</f>
        <v>1286.690459230314</v>
      </c>
      <c r="M3" s="61">
        <f>$J$3-EFEITO!$K$3*EFEITO!$Y$3</f>
        <v>0</v>
      </c>
      <c r="N3" s="61">
        <f ca="1">$K$3-EFEITO!$M$3*EFEITO!$Z$3</f>
        <v>0</v>
      </c>
      <c r="O3" s="61">
        <f>$L$3-EFEITO!$O$3*EFEITO!$AA$3</f>
        <v>0</v>
      </c>
      <c r="P3" s="45"/>
      <c r="Q3" s="61" t="s">
        <v>522</v>
      </c>
      <c r="R3" s="61">
        <f>SUMIF($B$2:$B$174,$Q$3,$J$2:$J$174)</f>
        <v>0</v>
      </c>
      <c r="S3" s="61">
        <f>SUMIF($B$2:$B$174,$Q$3,$K$2:$K$174)</f>
        <v>0</v>
      </c>
      <c r="T3" s="61">
        <f>SUMIF($B$2:$B$174,$Q$3,$L$2:$L$174)</f>
        <v>0</v>
      </c>
      <c r="U3" s="61">
        <f>SUMIF($B$2:$B$174,$Q$3,$M$2:$M$174)</f>
        <v>0</v>
      </c>
      <c r="V3" s="61">
        <f>SUMIF($B$2:$B$174,$Q$3,$N$2:$N$174)</f>
        <v>0</v>
      </c>
      <c r="W3" s="61">
        <f>SUMIF($B$2:$B$174,$Q$3,$O$2:$O$174)</f>
        <v>0</v>
      </c>
      <c r="X3" s="42">
        <f>$R$3-$U$3</f>
        <v>0</v>
      </c>
      <c r="Y3" s="42">
        <f>$S$3-$V$3</f>
        <v>0</v>
      </c>
      <c r="Z3" s="42">
        <f>$T$3-$W$3</f>
        <v>0</v>
      </c>
      <c r="AA3" s="42">
        <f>SUMIF(EFEITO!$B$2:$B$174,$Q$3,EFEITO!$AE$2:$AE$174)</f>
        <v>0</v>
      </c>
      <c r="AB3" s="42">
        <f>SUMIF(EFEITO!$B$2:$B$174,$Q$3,EFEITO!$AF$2:$AF$174)</f>
        <v>0</v>
      </c>
      <c r="AC3" s="42">
        <f>SUMIF(EFEITO!$B$2:$B$174,$Q$3,EFEITO!$AG$2:$AH$174)</f>
        <v>0</v>
      </c>
      <c r="AD3" s="42">
        <f>SUMIF(SUBSIDIO!$B$2:$B$174,$Q$3,SUBSIDIO!$AD$2:$AD$174)</f>
        <v>0</v>
      </c>
      <c r="AE3" s="42">
        <f>SUMIF(SUBSIDIO!$B$2:$B$174,$Q$3,SUBSIDIO!$AE$2:$AE$174)</f>
        <v>0</v>
      </c>
      <c r="AF3" s="42" t="str">
        <f>IF(ABS($X$3-$AA$3)&lt;0.01,"OK","ERRO")</f>
        <v>OK</v>
      </c>
      <c r="AG3" s="42" t="str">
        <f>IF(ABS($Y$3-$AB$3)&lt;0.01,"OK","ERRO")</f>
        <v>OK</v>
      </c>
      <c r="AH3" s="42" t="str">
        <f>IF(ABS($Z$3-$AC$3)&lt;0.01,"OK","ERRO")</f>
        <v>OK</v>
      </c>
      <c r="AI3" s="42" t="str">
        <f>IF(ABS($U$3-$AD$3)&lt;0.01,"OK","ERRO")</f>
        <v>OK</v>
      </c>
      <c r="AJ3" s="42" t="str">
        <f>IF(ABS(($V$3+$W$3)-$AE$3)&lt;0.01,"OK","ERRO")</f>
        <v>OK</v>
      </c>
    </row>
    <row r="4" spans="1:40" ht="11.25" customHeight="1" x14ac:dyDescent="0.2">
      <c r="A4" s="41" t="s">
        <v>21</v>
      </c>
      <c r="B4" s="41" t="s">
        <v>22</v>
      </c>
      <c r="C4" s="41" t="s">
        <v>23</v>
      </c>
      <c r="D4" s="41" t="s">
        <v>24</v>
      </c>
      <c r="E4" s="41" t="s">
        <v>24</v>
      </c>
      <c r="F4" s="41" t="s">
        <v>25</v>
      </c>
      <c r="G4" s="41" t="s">
        <v>25</v>
      </c>
      <c r="H4" s="41" t="s">
        <v>25</v>
      </c>
      <c r="I4" s="60">
        <v>44531</v>
      </c>
      <c r="J4" s="61">
        <f>EFEITO!$J$4*EFEITO!$Y$4</f>
        <v>0</v>
      </c>
      <c r="K4" s="61">
        <f ca="1">EFEITO!$L$4*EFEITO!$Z$4</f>
        <v>122545.16119985309</v>
      </c>
      <c r="L4" s="61">
        <f>EFEITO!$N$4*EFEITO!$AA$4</f>
        <v>48429.161666667642</v>
      </c>
      <c r="M4" s="61">
        <f>$J$4-EFEITO!$K$4*EFEITO!$Y$4</f>
        <v>0</v>
      </c>
      <c r="N4" s="61">
        <f ca="1">$K$4-EFEITO!$M$4*EFEITO!$Z$4</f>
        <v>0</v>
      </c>
      <c r="O4" s="61">
        <f>$L$4-EFEITO!$O$4*EFEITO!$AA$4</f>
        <v>0</v>
      </c>
      <c r="P4" s="45"/>
      <c r="Q4" s="61" t="s">
        <v>397</v>
      </c>
      <c r="R4" s="61">
        <f>SUMIF($B$2:$B$174,$Q$4,$J$2:$J$174)</f>
        <v>0</v>
      </c>
      <c r="S4" s="61">
        <f>SUMIF($B$2:$B$174,$Q$4,$K$2:$K$174)</f>
        <v>0</v>
      </c>
      <c r="T4" s="61">
        <f>SUMIF($B$2:$B$174,$Q$4,$L$2:$L$174)</f>
        <v>0</v>
      </c>
      <c r="U4" s="61">
        <f>SUMIF($B$2:$B$174,$Q$4,$M$2:$M$174)</f>
        <v>0</v>
      </c>
      <c r="V4" s="61">
        <f>SUMIF($B$2:$B$174,$Q$4,$N$2:$N$174)</f>
        <v>0</v>
      </c>
      <c r="W4" s="61">
        <f>SUMIF($B$2:$B$174,$Q$4,$O$2:$O$174)</f>
        <v>0</v>
      </c>
      <c r="X4" s="42">
        <f>$R$4-$U$4</f>
        <v>0</v>
      </c>
      <c r="Y4" s="42">
        <f>$S$4-$V$4</f>
        <v>0</v>
      </c>
      <c r="Z4" s="42">
        <f>$T$4-$W$4</f>
        <v>0</v>
      </c>
      <c r="AA4" s="42">
        <f>SUMIF(EFEITO!$B$2:$B$174,$Q$4,EFEITO!$AE$2:$AE$174)</f>
        <v>0</v>
      </c>
      <c r="AB4" s="42">
        <f>SUMIF(EFEITO!$B$2:$B$174,$Q$4,EFEITO!$AF$2:$AF$174)</f>
        <v>0</v>
      </c>
      <c r="AC4" s="42">
        <f>SUMIF(EFEITO!$B$2:$B$174,$Q$4,EFEITO!$AG$2:$AH$174)</f>
        <v>0</v>
      </c>
      <c r="AD4" s="42">
        <f>SUMIF(SUBSIDIO!$B$2:$B$174,$Q$4,SUBSIDIO!$AD$2:$AD$174)</f>
        <v>0</v>
      </c>
      <c r="AE4" s="42">
        <f>SUMIF(SUBSIDIO!$B$2:$B$174,$Q$4,SUBSIDIO!$AE$2:$AE$174)</f>
        <v>0</v>
      </c>
      <c r="AF4" s="42" t="str">
        <f>IF(ABS($X$4-$AA$4)&lt;0.01,"OK","ERRO")</f>
        <v>OK</v>
      </c>
      <c r="AG4" s="42" t="str">
        <f>IF(ABS($Y$4-$AB$4)&lt;0.01,"OK","ERRO")</f>
        <v>OK</v>
      </c>
      <c r="AH4" s="42" t="str">
        <f>IF(ABS($Z$4-$AC$4)&lt;0.01,"OK","ERRO")</f>
        <v>OK</v>
      </c>
      <c r="AI4" s="42" t="str">
        <f>IF(ABS($U$4-$AD$4)&lt;0.01,"OK","ERRO")</f>
        <v>OK</v>
      </c>
      <c r="AJ4" s="42" t="str">
        <f>IF(ABS(($V$4+$W$4)-$AE$4)&lt;0.01,"OK","ERRO")</f>
        <v>OK</v>
      </c>
    </row>
    <row r="5" spans="1:40" ht="11.25" customHeight="1" x14ac:dyDescent="0.2">
      <c r="A5" s="41" t="s">
        <v>27</v>
      </c>
      <c r="B5" s="41" t="s">
        <v>22</v>
      </c>
      <c r="C5" s="41" t="s">
        <v>23</v>
      </c>
      <c r="D5" s="41" t="s">
        <v>24</v>
      </c>
      <c r="E5" s="41" t="s">
        <v>24</v>
      </c>
      <c r="F5" s="41" t="s">
        <v>25</v>
      </c>
      <c r="G5" s="41" t="s">
        <v>25</v>
      </c>
      <c r="H5" s="41" t="s">
        <v>25</v>
      </c>
      <c r="I5" s="60">
        <v>44531</v>
      </c>
      <c r="J5" s="61">
        <f>EFEITO!$J$5*EFEITO!$Y$5</f>
        <v>0</v>
      </c>
      <c r="K5" s="61">
        <f ca="1">EFEITO!$L$5*EFEITO!$Z$5</f>
        <v>3546.0385277165615</v>
      </c>
      <c r="L5" s="61">
        <f>EFEITO!$N$5*EFEITO!$AA$5</f>
        <v>1401.374574512562</v>
      </c>
      <c r="M5" s="61">
        <f>$J$5-EFEITO!$K$5*EFEITO!$Y$5</f>
        <v>0</v>
      </c>
      <c r="N5" s="61">
        <f ca="1">$K$5-EFEITO!$M$5*EFEITO!$Z$5</f>
        <v>0</v>
      </c>
      <c r="O5" s="61">
        <f>$L$5-EFEITO!$O$5*EFEITO!$AA$5</f>
        <v>0</v>
      </c>
      <c r="P5" s="45"/>
      <c r="Q5" s="61" t="s">
        <v>398</v>
      </c>
      <c r="R5" s="61">
        <f>SUMIF($B$2:$B$174,$Q$5,$J$2:$J$174)</f>
        <v>0</v>
      </c>
      <c r="S5" s="61">
        <f>SUMIF($B$2:$B$174,$Q$5,$K$2:$K$174)</f>
        <v>0</v>
      </c>
      <c r="T5" s="61">
        <f>SUMIF($B$2:$B$174,$Q$5,$L$2:$L$174)</f>
        <v>0</v>
      </c>
      <c r="U5" s="61">
        <f>SUMIF($B$2:$B$174,$Q$5,$M$2:$M$174)</f>
        <v>0</v>
      </c>
      <c r="V5" s="61">
        <f>SUMIF($B$2:$B$174,$Q$5,$N$2:$N$174)</f>
        <v>0</v>
      </c>
      <c r="W5" s="61">
        <f>SUMIF($B$2:$B$174,$Q$5,$O$2:$O$174)</f>
        <v>0</v>
      </c>
      <c r="X5" s="42">
        <f>$R$5-$U$5</f>
        <v>0</v>
      </c>
      <c r="Y5" s="42">
        <f>$S$5-$V$5</f>
        <v>0</v>
      </c>
      <c r="Z5" s="42">
        <f>$T$5-$W$5</f>
        <v>0</v>
      </c>
      <c r="AA5" s="42">
        <f>SUMIF(EFEITO!$B$2:$B$174,$Q$5,EFEITO!$AE$2:$AE$174)</f>
        <v>0</v>
      </c>
      <c r="AB5" s="42">
        <f>SUMIF(EFEITO!$B$2:$B$174,$Q$5,EFEITO!$AF$2:$AF$174)</f>
        <v>0</v>
      </c>
      <c r="AC5" s="42">
        <f>SUMIF(EFEITO!$B$2:$B$174,$Q$5,EFEITO!$AG$2:$AH$174)</f>
        <v>0</v>
      </c>
      <c r="AD5" s="42">
        <f>SUMIF(SUBSIDIO!$B$2:$B$174,$Q$5,SUBSIDIO!$AD$2:$AD$174)</f>
        <v>0</v>
      </c>
      <c r="AE5" s="42">
        <f>SUMIF(SUBSIDIO!$B$2:$B$174,$Q$5,SUBSIDIO!$AE$2:$AE$174)</f>
        <v>0</v>
      </c>
      <c r="AF5" s="42" t="str">
        <f>IF(ABS($X$5-$AA$5)&lt;0.01,"OK","ERRO")</f>
        <v>OK</v>
      </c>
      <c r="AG5" s="42" t="str">
        <f>IF(ABS($Y$5-$AB$5)&lt;0.01,"OK","ERRO")</f>
        <v>OK</v>
      </c>
      <c r="AH5" s="42" t="str">
        <f>IF(ABS($Z$5-$AC$5)&lt;0.01,"OK","ERRO")</f>
        <v>OK</v>
      </c>
      <c r="AI5" s="42" t="str">
        <f>IF(ABS($U$5-$AD$5)&lt;0.01,"OK","ERRO")</f>
        <v>OK</v>
      </c>
      <c r="AJ5" s="42" t="str">
        <f>IF(ABS(($V$5+$W$5)-$AE$5)&lt;0.01,"OK","ERRO")</f>
        <v>OK</v>
      </c>
    </row>
    <row r="6" spans="1:40" ht="11.25" customHeight="1" x14ac:dyDescent="0.2">
      <c r="A6" s="41" t="s">
        <v>21</v>
      </c>
      <c r="B6" s="41" t="s">
        <v>22</v>
      </c>
      <c r="C6" s="41" t="s">
        <v>23</v>
      </c>
      <c r="D6" s="41" t="s">
        <v>24</v>
      </c>
      <c r="E6" s="41" t="s">
        <v>24</v>
      </c>
      <c r="F6" s="41" t="s">
        <v>25</v>
      </c>
      <c r="G6" s="41" t="s">
        <v>25</v>
      </c>
      <c r="H6" s="41" t="s">
        <v>25</v>
      </c>
      <c r="I6" s="60">
        <v>44562</v>
      </c>
      <c r="J6" s="61">
        <f>EFEITO!$J$6*EFEITO!$Y$6</f>
        <v>0</v>
      </c>
      <c r="K6" s="61">
        <f ca="1">EFEITO!$L$6*EFEITO!$Z$6</f>
        <v>136940.27908330725</v>
      </c>
      <c r="L6" s="61">
        <f>EFEITO!$N$6*EFEITO!$AA$6</f>
        <v>54118.031666614865</v>
      </c>
      <c r="M6" s="61">
        <f>$J$6-EFEITO!$K$6*EFEITO!$Y$6</f>
        <v>0</v>
      </c>
      <c r="N6" s="61">
        <f ca="1">$K$6-EFEITO!$M$6*EFEITO!$Z$6</f>
        <v>0</v>
      </c>
      <c r="O6" s="61">
        <f>$L$6-EFEITO!$O$6*EFEITO!$AA$6</f>
        <v>0</v>
      </c>
      <c r="P6" s="45"/>
      <c r="Q6" s="61" t="s">
        <v>399</v>
      </c>
      <c r="R6" s="61">
        <f>SUMIF($B$2:$B$174,$Q$6,$J$2:$J$174)</f>
        <v>0</v>
      </c>
      <c r="S6" s="61">
        <f>SUMIF($B$2:$B$174,$Q$6,$K$2:$K$174)</f>
        <v>0</v>
      </c>
      <c r="T6" s="61">
        <f>SUMIF($B$2:$B$174,$Q$6,$L$2:$L$174)</f>
        <v>0</v>
      </c>
      <c r="U6" s="61">
        <f>SUMIF($B$2:$B$174,$Q$6,$M$2:$M$174)</f>
        <v>0</v>
      </c>
      <c r="V6" s="61">
        <f>SUMIF($B$2:$B$174,$Q$6,$N$2:$N$174)</f>
        <v>0</v>
      </c>
      <c r="W6" s="61">
        <f>SUMIF($B$2:$B$174,$Q$6,$O$2:$O$174)</f>
        <v>0</v>
      </c>
      <c r="X6" s="42">
        <f>$R$6-$U$6</f>
        <v>0</v>
      </c>
      <c r="Y6" s="42">
        <f>$S$6-$V$6</f>
        <v>0</v>
      </c>
      <c r="Z6" s="42">
        <f>$T$6-$W$6</f>
        <v>0</v>
      </c>
      <c r="AA6" s="42">
        <f>SUMIF(EFEITO!$B$2:$B$174,$Q$6,EFEITO!$AE$2:$AE$174)</f>
        <v>0</v>
      </c>
      <c r="AB6" s="42">
        <f>SUMIF(EFEITO!$B$2:$B$174,$Q$6,EFEITO!$AF$2:$AF$174)</f>
        <v>0</v>
      </c>
      <c r="AC6" s="42">
        <f>SUMIF(EFEITO!$B$2:$B$174,$Q$6,EFEITO!$AG$2:$AH$174)</f>
        <v>0</v>
      </c>
      <c r="AD6" s="42">
        <f>SUMIF(SUBSIDIO!$B$2:$B$174,$Q$6,SUBSIDIO!$AD$2:$AD$174)</f>
        <v>0</v>
      </c>
      <c r="AE6" s="42">
        <f>SUMIF(SUBSIDIO!$B$2:$B$174,$Q$6,SUBSIDIO!$AE$2:$AE$174)</f>
        <v>0</v>
      </c>
      <c r="AF6" s="42" t="str">
        <f>IF(ABS($X$6-$AA$6)&lt;0.01,"OK","ERRO")</f>
        <v>OK</v>
      </c>
      <c r="AG6" s="42" t="str">
        <f>IF(ABS($Y$6-$AB$6)&lt;0.01,"OK","ERRO")</f>
        <v>OK</v>
      </c>
      <c r="AH6" s="42" t="str">
        <f>IF(ABS($Z$6-$AC$6)&lt;0.01,"OK","ERRO")</f>
        <v>OK</v>
      </c>
      <c r="AI6" s="42" t="str">
        <f>IF(ABS($U$6-$AD$6)&lt;0.01,"OK","ERRO")</f>
        <v>OK</v>
      </c>
      <c r="AJ6" s="42" t="str">
        <f>IF(ABS(($V$6+$W$6)-$AE$6)&lt;0.01,"OK","ERRO")</f>
        <v>OK</v>
      </c>
    </row>
    <row r="7" spans="1:40" ht="11.25" customHeight="1" x14ac:dyDescent="0.2">
      <c r="A7" s="41" t="s">
        <v>27</v>
      </c>
      <c r="B7" s="41" t="s">
        <v>22</v>
      </c>
      <c r="C7" s="41" t="s">
        <v>23</v>
      </c>
      <c r="D7" s="41" t="s">
        <v>24</v>
      </c>
      <c r="E7" s="41" t="s">
        <v>24</v>
      </c>
      <c r="F7" s="41" t="s">
        <v>25</v>
      </c>
      <c r="G7" s="41" t="s">
        <v>25</v>
      </c>
      <c r="H7" s="41" t="s">
        <v>25</v>
      </c>
      <c r="I7" s="60">
        <v>44562</v>
      </c>
      <c r="J7" s="61">
        <f>EFEITO!$J$7*EFEITO!$Y$7</f>
        <v>0</v>
      </c>
      <c r="K7" s="61">
        <f ca="1">EFEITO!$L$7*EFEITO!$Z$7</f>
        <v>4508.4999786937778</v>
      </c>
      <c r="L7" s="61">
        <f>EFEITO!$N$7*EFEITO!$AA$7</f>
        <v>1781.7339518305707</v>
      </c>
      <c r="M7" s="61">
        <f>$J$7-EFEITO!$K$7*EFEITO!$Y$7</f>
        <v>0</v>
      </c>
      <c r="N7" s="61">
        <f ca="1">$K$7-EFEITO!$M$7*EFEITO!$Z$7</f>
        <v>0</v>
      </c>
      <c r="O7" s="61">
        <f>$L$7-EFEITO!$O$7*EFEITO!$AA$7</f>
        <v>0</v>
      </c>
      <c r="P7" s="45"/>
      <c r="Q7" s="61" t="s">
        <v>58</v>
      </c>
      <c r="R7" s="61">
        <f>SUMIF($B$2:$B$174,$Q$7,$J$2:$J$174)</f>
        <v>0</v>
      </c>
      <c r="S7" s="61">
        <f>SUMIF($B$2:$B$174,$Q$7,$K$2:$K$174)</f>
        <v>0</v>
      </c>
      <c r="T7" s="61">
        <f>SUMIF($B$2:$B$174,$Q$7,$L$2:$L$174)</f>
        <v>0</v>
      </c>
      <c r="U7" s="61">
        <f>SUMIF($B$2:$B$174,$Q$7,$M$2:$M$174)</f>
        <v>0</v>
      </c>
      <c r="V7" s="61">
        <f>SUMIF($B$2:$B$174,$Q$7,$N$2:$N$174)</f>
        <v>0</v>
      </c>
      <c r="W7" s="61">
        <f>SUMIF($B$2:$B$174,$Q$7,$O$2:$O$174)</f>
        <v>0</v>
      </c>
      <c r="X7" s="42">
        <f>$R$7-$U$7</f>
        <v>0</v>
      </c>
      <c r="Y7" s="42">
        <f>$S$7-$V$7</f>
        <v>0</v>
      </c>
      <c r="Z7" s="42">
        <f>$T$7-$W$7</f>
        <v>0</v>
      </c>
      <c r="AA7" s="42">
        <f>SUMIF(EFEITO!$B$2:$B$174,$Q$7,EFEITO!$AE$2:$AE$174)</f>
        <v>0</v>
      </c>
      <c r="AB7" s="42">
        <f>SUMIF(EFEITO!$B$2:$B$174,$Q$7,EFEITO!$AF$2:$AF$174)</f>
        <v>0</v>
      </c>
      <c r="AC7" s="42">
        <f>SUMIF(EFEITO!$B$2:$B$174,$Q$7,EFEITO!$AG$2:$AH$174)</f>
        <v>0</v>
      </c>
      <c r="AD7" s="42">
        <f>SUMIF(SUBSIDIO!$B$2:$B$174,$Q$7,SUBSIDIO!$AD$2:$AD$174)</f>
        <v>0</v>
      </c>
      <c r="AE7" s="42">
        <f>SUMIF(SUBSIDIO!$B$2:$B$174,$Q$7,SUBSIDIO!$AE$2:$AE$174)</f>
        <v>0</v>
      </c>
      <c r="AF7" s="42" t="str">
        <f>IF(ABS($X$7-$AA$7)&lt;0.01,"OK","ERRO")</f>
        <v>OK</v>
      </c>
      <c r="AG7" s="42" t="str">
        <f>IF(ABS($Y$7-$AB$7)&lt;0.01,"OK","ERRO")</f>
        <v>OK</v>
      </c>
      <c r="AH7" s="42" t="str">
        <f>IF(ABS($Z$7-$AC$7)&lt;0.01,"OK","ERRO")</f>
        <v>OK</v>
      </c>
      <c r="AI7" s="42" t="str">
        <f>IF(ABS($U$7-$AD$7)&lt;0.01,"OK","ERRO")</f>
        <v>OK</v>
      </c>
      <c r="AJ7" s="42" t="str">
        <f>IF(ABS(($V$7+$W$7)-$AE$7)&lt;0.01,"OK","ERRO")</f>
        <v>OK</v>
      </c>
    </row>
    <row r="8" spans="1:40" ht="11.25" customHeight="1" x14ac:dyDescent="0.2">
      <c r="A8" s="41" t="s">
        <v>21</v>
      </c>
      <c r="B8" s="41" t="s">
        <v>22</v>
      </c>
      <c r="C8" s="41" t="s">
        <v>23</v>
      </c>
      <c r="D8" s="41" t="s">
        <v>24</v>
      </c>
      <c r="E8" s="41" t="s">
        <v>24</v>
      </c>
      <c r="F8" s="41" t="s">
        <v>25</v>
      </c>
      <c r="G8" s="41" t="s">
        <v>25</v>
      </c>
      <c r="H8" s="41" t="s">
        <v>25</v>
      </c>
      <c r="I8" s="60">
        <v>44593</v>
      </c>
      <c r="J8" s="61">
        <f>EFEITO!$J$8*EFEITO!$Y$8</f>
        <v>0</v>
      </c>
      <c r="K8" s="61">
        <f ca="1">EFEITO!$L$8*EFEITO!$Z$8</f>
        <v>145892.14276067918</v>
      </c>
      <c r="L8" s="61">
        <f>EFEITO!$N$8*EFEITO!$AA$8</f>
        <v>57655.758077063576</v>
      </c>
      <c r="M8" s="61">
        <f>$J$8-EFEITO!$K$8*EFEITO!$Y$8</f>
        <v>0</v>
      </c>
      <c r="N8" s="61">
        <f ca="1">$K$8-EFEITO!$M$8*EFEITO!$Z$8</f>
        <v>0</v>
      </c>
      <c r="O8" s="61">
        <f>$L$8-EFEITO!$O$8*EFEITO!$AA$8</f>
        <v>0</v>
      </c>
      <c r="P8" s="45"/>
      <c r="Q8" s="61" t="s">
        <v>400</v>
      </c>
      <c r="R8" s="61">
        <f>SUMIF($B$2:$B$174,$Q$8,$J$2:$J$174)</f>
        <v>0</v>
      </c>
      <c r="S8" s="61">
        <f>SUMIF($B$2:$B$174,$Q$8,$K$2:$K$174)</f>
        <v>0</v>
      </c>
      <c r="T8" s="61">
        <f>SUMIF($B$2:$B$174,$Q$8,$L$2:$L$174)</f>
        <v>0</v>
      </c>
      <c r="U8" s="61">
        <f>SUMIF($B$2:$B$174,$Q$8,$M$2:$M$174)</f>
        <v>0</v>
      </c>
      <c r="V8" s="61">
        <f>SUMIF($B$2:$B$174,$Q$8,$N$2:$N$174)</f>
        <v>0</v>
      </c>
      <c r="W8" s="61">
        <f>SUMIF($B$2:$B$174,$Q$8,$O$2:$O$174)</f>
        <v>0</v>
      </c>
      <c r="X8" s="42">
        <f>$R$8-$U$8</f>
        <v>0</v>
      </c>
      <c r="Y8" s="42">
        <f>$S$8-$V$8</f>
        <v>0</v>
      </c>
      <c r="Z8" s="42">
        <f>$T$8-$W$8</f>
        <v>0</v>
      </c>
      <c r="AA8" s="42">
        <f>SUMIF(EFEITO!$B$2:$B$174,$Q$8,EFEITO!$AE$2:$AE$174)</f>
        <v>0</v>
      </c>
      <c r="AB8" s="42">
        <f>SUMIF(EFEITO!$B$2:$B$174,$Q$8,EFEITO!$AF$2:$AF$174)</f>
        <v>0</v>
      </c>
      <c r="AC8" s="42">
        <f>SUMIF(EFEITO!$B$2:$B$174,$Q$8,EFEITO!$AG$2:$AH$174)</f>
        <v>0</v>
      </c>
      <c r="AD8" s="42">
        <f>SUMIF(SUBSIDIO!$B$2:$B$174,$Q$8,SUBSIDIO!$AD$2:$AD$174)</f>
        <v>0</v>
      </c>
      <c r="AE8" s="42">
        <f>SUMIF(SUBSIDIO!$B$2:$B$174,$Q$8,SUBSIDIO!$AE$2:$AE$174)</f>
        <v>0</v>
      </c>
      <c r="AF8" s="42" t="str">
        <f>IF(ABS($X$8-$AA$8)&lt;0.01,"OK","ERRO")</f>
        <v>OK</v>
      </c>
      <c r="AG8" s="42" t="str">
        <f>IF(ABS($Y$8-$AB$8)&lt;0.01,"OK","ERRO")</f>
        <v>OK</v>
      </c>
      <c r="AH8" s="42" t="str">
        <f>IF(ABS($Z$8-$AC$8)&lt;0.01,"OK","ERRO")</f>
        <v>OK</v>
      </c>
      <c r="AI8" s="42" t="str">
        <f>IF(ABS($U$8-$AD$8)&lt;0.01,"OK","ERRO")</f>
        <v>OK</v>
      </c>
      <c r="AJ8" s="42" t="str">
        <f>IF(ABS(($V$8+$W$8)-$AE$8)&lt;0.01,"OK","ERRO")</f>
        <v>OK</v>
      </c>
    </row>
    <row r="9" spans="1:40" ht="11.25" customHeight="1" x14ac:dyDescent="0.2">
      <c r="A9" s="41" t="s">
        <v>27</v>
      </c>
      <c r="B9" s="41" t="s">
        <v>22</v>
      </c>
      <c r="C9" s="41" t="s">
        <v>23</v>
      </c>
      <c r="D9" s="41" t="s">
        <v>24</v>
      </c>
      <c r="E9" s="41" t="s">
        <v>24</v>
      </c>
      <c r="F9" s="41" t="s">
        <v>25</v>
      </c>
      <c r="G9" s="41" t="s">
        <v>25</v>
      </c>
      <c r="H9" s="41" t="s">
        <v>25</v>
      </c>
      <c r="I9" s="60">
        <v>44593</v>
      </c>
      <c r="J9" s="61">
        <f>EFEITO!$J$9*EFEITO!$Y$9</f>
        <v>0</v>
      </c>
      <c r="K9" s="61">
        <f ca="1">EFEITO!$L$9*EFEITO!$Z$9</f>
        <v>4750.0875247218974</v>
      </c>
      <c r="L9" s="61">
        <f>EFEITO!$N$9*EFEITO!$AA$9</f>
        <v>1877.2079975513032</v>
      </c>
      <c r="M9" s="61">
        <f>$J$9-EFEITO!$K$9*EFEITO!$Y$9</f>
        <v>0</v>
      </c>
      <c r="N9" s="61">
        <f ca="1">$K$9-EFEITO!$M$9*EFEITO!$Z$9</f>
        <v>0</v>
      </c>
      <c r="O9" s="61">
        <f>$L$9-EFEITO!$O$9*EFEITO!$AA$9</f>
        <v>0</v>
      </c>
      <c r="P9" s="45"/>
      <c r="Q9" s="61" t="s">
        <v>22</v>
      </c>
      <c r="R9" s="61">
        <f>SUMIF($B$2:$B$174,$Q$9,$J$2:$J$174)</f>
        <v>0</v>
      </c>
      <c r="S9" s="61">
        <f ca="1">SUMIF($B$2:$B$174,$Q$9,$K$2:$K$174)</f>
        <v>1737793.750267308</v>
      </c>
      <c r="T9" s="61">
        <f>SUMIF($B$2:$B$174,$Q$9,$L$2:$L$174)</f>
        <v>695585.86118352436</v>
      </c>
      <c r="U9" s="61">
        <f>SUMIF($B$2:$B$174,$Q$9,$M$2:$M$174)</f>
        <v>0</v>
      </c>
      <c r="V9" s="61">
        <f ca="1">SUMIF($B$2:$B$174,$Q$9,$N$2:$N$174)</f>
        <v>3861.4624445176783</v>
      </c>
      <c r="W9" s="61">
        <f>SUMIF($B$2:$B$174,$Q$9,$O$2:$O$174)</f>
        <v>2106.576228115799</v>
      </c>
      <c r="X9" s="42">
        <f>$R$9-$U$9</f>
        <v>0</v>
      </c>
      <c r="Y9" s="42">
        <f ca="1">$S$9-$V$9</f>
        <v>1733932.2878227902</v>
      </c>
      <c r="Z9" s="42">
        <f>$T$9-$W$9</f>
        <v>693479.28495540854</v>
      </c>
      <c r="AA9" s="42">
        <f>SUMIF(EFEITO!$B$2:$B$174,$Q$9,EFEITO!$AE$2:$AE$174)</f>
        <v>0</v>
      </c>
      <c r="AB9" s="42">
        <f ca="1">SUMIF(EFEITO!$B$2:$B$174,$Q$9,EFEITO!$AF$2:$AF$174)</f>
        <v>1733932.2878227888</v>
      </c>
      <c r="AC9" s="42">
        <f>SUMIF(EFEITO!$B$2:$B$174,$Q$9,EFEITO!$AG$2:$AH$174)</f>
        <v>693479.28495540866</v>
      </c>
      <c r="AD9" s="42">
        <f>SUMIF(SUBSIDIO!$B$2:$B$174,$Q$9,SUBSIDIO!$AD$2:$AD$174)</f>
        <v>0</v>
      </c>
      <c r="AE9" s="42">
        <f ca="1">SUMIF(SUBSIDIO!$B$2:$B$174,$Q$9,SUBSIDIO!$AE$2:$AE$174)</f>
        <v>5968.0386726334682</v>
      </c>
      <c r="AF9" s="42" t="str">
        <f>IF(ABS($X$9-$AA$9)&lt;0.01,"OK","ERRO")</f>
        <v>OK</v>
      </c>
      <c r="AG9" s="42" t="str">
        <f ca="1">IF(ABS($Y$9-$AB$9)&lt;0.01,"OK","ERRO")</f>
        <v>OK</v>
      </c>
      <c r="AH9" s="42" t="str">
        <f>IF(ABS($Z$9-$AC$9)&lt;0.01,"OK","ERRO")</f>
        <v>OK</v>
      </c>
      <c r="AI9" s="42" t="str">
        <f>IF(ABS($U$9-$AD$9)&lt;0.01,"OK","ERRO")</f>
        <v>OK</v>
      </c>
      <c r="AJ9" s="42" t="str">
        <f ca="1">IF(ABS(($V$9+$W$9)-$AE$9)&lt;0.01,"OK","ERRO")</f>
        <v>OK</v>
      </c>
    </row>
    <row r="10" spans="1:40" ht="11.25" customHeight="1" x14ac:dyDescent="0.2">
      <c r="A10" s="41" t="s">
        <v>21</v>
      </c>
      <c r="B10" s="41" t="s">
        <v>22</v>
      </c>
      <c r="C10" s="41" t="s">
        <v>23</v>
      </c>
      <c r="D10" s="41" t="s">
        <v>24</v>
      </c>
      <c r="E10" s="41" t="s">
        <v>24</v>
      </c>
      <c r="F10" s="41" t="s">
        <v>25</v>
      </c>
      <c r="G10" s="41" t="s">
        <v>25</v>
      </c>
      <c r="H10" s="41" t="s">
        <v>25</v>
      </c>
      <c r="I10" s="60">
        <v>44621</v>
      </c>
      <c r="J10" s="61">
        <f>EFEITO!$J$10*EFEITO!$Y$10</f>
        <v>0</v>
      </c>
      <c r="K10" s="61">
        <f ca="1">EFEITO!$L$10*EFEITO!$Z$10</f>
        <v>140379.86354144604</v>
      </c>
      <c r="L10" s="61">
        <f>EFEITO!$N$10*EFEITO!$AA$10</f>
        <v>55477.336188787711</v>
      </c>
      <c r="M10" s="61">
        <f>$J$10-EFEITO!$K$10*EFEITO!$Y$10</f>
        <v>0</v>
      </c>
      <c r="N10" s="61">
        <f ca="1">$K$10-EFEITO!$M$10*EFEITO!$Z$10</f>
        <v>0</v>
      </c>
      <c r="O10" s="61">
        <f>$L$10-EFEITO!$O$10*EFEITO!$AA$10</f>
        <v>0</v>
      </c>
      <c r="P10" s="45"/>
      <c r="Q10" s="61" t="s">
        <v>31</v>
      </c>
      <c r="R10" s="61">
        <f>SUMIF($B$2:$B$174,$Q$10,$J$2:$J$174)</f>
        <v>0</v>
      </c>
      <c r="S10" s="61">
        <f ca="1">SUMIF($B$2:$B$174,$Q$10,$K$2:$K$174)</f>
        <v>3004321.9609504538</v>
      </c>
      <c r="T10" s="61">
        <f>SUMIF($B$2:$B$174,$Q$10,$L$2:$L$174)</f>
        <v>1187291.2199960768</v>
      </c>
      <c r="U10" s="61">
        <f>SUMIF($B$2:$B$174,$Q$10,$M$2:$M$174)</f>
        <v>0</v>
      </c>
      <c r="V10" s="61">
        <f ca="1">SUMIF($B$2:$B$174,$Q$10,$N$2:$N$174)</f>
        <v>180259.31765702722</v>
      </c>
      <c r="W10" s="61">
        <f>SUMIF($B$2:$B$174,$Q$10,$O$2:$O$174)</f>
        <v>71237.473199764572</v>
      </c>
      <c r="X10" s="42">
        <f>$R$10-$U$10</f>
        <v>0</v>
      </c>
      <c r="Y10" s="42">
        <f ca="1">$S$10-$V$10</f>
        <v>2824062.6432934264</v>
      </c>
      <c r="Z10" s="42">
        <f>$T$10-$W$10</f>
        <v>1116053.7467963123</v>
      </c>
      <c r="AA10" s="42">
        <f>SUMIF(EFEITO!$B$2:$B$174,$Q$10,EFEITO!$AE$2:$AE$174)</f>
        <v>0</v>
      </c>
      <c r="AB10" s="42">
        <f ca="1">SUMIF(EFEITO!$B$2:$B$174,$Q$10,EFEITO!$AF$2:$AF$174)</f>
        <v>2824062.6432934264</v>
      </c>
      <c r="AC10" s="42">
        <f>SUMIF(EFEITO!$B$2:$B$174,$Q$10,EFEITO!$AG$2:$AH$174)</f>
        <v>1116053.7467963123</v>
      </c>
      <c r="AD10" s="42">
        <f>SUMIF(SUBSIDIO!$B$2:$B$174,$Q$10,SUBSIDIO!$AD$2:$AD$174)</f>
        <v>0</v>
      </c>
      <c r="AE10" s="42">
        <f ca="1">SUMIF(SUBSIDIO!$B$2:$B$174,$Q$10,SUBSIDIO!$AE$2:$AE$174)</f>
        <v>251496.79085679151</v>
      </c>
      <c r="AF10" s="42" t="str">
        <f>IF(ABS($X$10-$AA$10)&lt;0.01,"OK","ERRO")</f>
        <v>OK</v>
      </c>
      <c r="AG10" s="42" t="str">
        <f ca="1">IF(ABS($Y$10-$AB$10)&lt;0.01,"OK","ERRO")</f>
        <v>OK</v>
      </c>
      <c r="AH10" s="42" t="str">
        <f>IF(ABS($Z$10-$AC$10)&lt;0.01,"OK","ERRO")</f>
        <v>OK</v>
      </c>
      <c r="AI10" s="42" t="str">
        <f>IF(ABS($U$10-$AD$10)&lt;0.01,"OK","ERRO")</f>
        <v>OK</v>
      </c>
      <c r="AJ10" s="42" t="str">
        <f ca="1">IF(ABS(($V$10+$W$10)-$AE$10)&lt;0.01,"OK","ERRO")</f>
        <v>OK</v>
      </c>
    </row>
    <row r="11" spans="1:40" ht="11.25" customHeight="1" x14ac:dyDescent="0.2">
      <c r="A11" s="41" t="s">
        <v>27</v>
      </c>
      <c r="B11" s="41" t="s">
        <v>22</v>
      </c>
      <c r="C11" s="41" t="s">
        <v>23</v>
      </c>
      <c r="D11" s="41" t="s">
        <v>24</v>
      </c>
      <c r="E11" s="41" t="s">
        <v>24</v>
      </c>
      <c r="F11" s="41" t="s">
        <v>25</v>
      </c>
      <c r="G11" s="41" t="s">
        <v>25</v>
      </c>
      <c r="H11" s="41" t="s">
        <v>25</v>
      </c>
      <c r="I11" s="60">
        <v>44621</v>
      </c>
      <c r="J11" s="61">
        <f>EFEITO!$J$11*EFEITO!$Y$11</f>
        <v>0</v>
      </c>
      <c r="K11" s="61">
        <f ca="1">EFEITO!$L$11*EFEITO!$Z$11</f>
        <v>4771.4755569658355</v>
      </c>
      <c r="L11" s="61">
        <f>EFEITO!$N$11*EFEITO!$AA$11</f>
        <v>1885.6604281583702</v>
      </c>
      <c r="M11" s="61">
        <f>$J$11-EFEITO!$K$11*EFEITO!$Y$11</f>
        <v>0</v>
      </c>
      <c r="N11" s="61">
        <f ca="1">$K$11-EFEITO!$M$11*EFEITO!$Z$11</f>
        <v>0</v>
      </c>
      <c r="O11" s="61">
        <f>$L$11-EFEITO!$O$11*EFEITO!$AA$11</f>
        <v>0</v>
      </c>
      <c r="P11" s="45"/>
      <c r="Q11" s="61" t="s">
        <v>28</v>
      </c>
      <c r="R11" s="61">
        <f>SUMIF($B$2:$B$174,$Q$11,$J$2:$J$174)</f>
        <v>0</v>
      </c>
      <c r="S11" s="61">
        <f ca="1">SUMIF($B$2:$B$174,$Q$11,$K$2:$K$174)</f>
        <v>1604798.0154349303</v>
      </c>
      <c r="T11" s="61">
        <f>SUMIF($B$2:$B$174,$Q$11,$L$2:$L$174)</f>
        <v>634207.19162543968</v>
      </c>
      <c r="U11" s="61">
        <f>SUMIF($B$2:$B$174,$Q$11,$M$2:$M$174)</f>
        <v>0</v>
      </c>
      <c r="V11" s="61">
        <f ca="1">SUMIF($B$2:$B$174,$Q$11,$N$2:$N$174)</f>
        <v>165.38295932625169</v>
      </c>
      <c r="W11" s="61">
        <f>SUMIF($B$2:$B$174,$Q$11,$O$2:$O$174)</f>
        <v>65.358419669144496</v>
      </c>
      <c r="X11" s="42">
        <f>$R$11-$U$11</f>
        <v>0</v>
      </c>
      <c r="Y11" s="42">
        <f ca="1">$S$11-$V$11</f>
        <v>1604632.6324756041</v>
      </c>
      <c r="Z11" s="42">
        <f>$T$11-$W$11</f>
        <v>634141.83320577058</v>
      </c>
      <c r="AA11" s="42">
        <f>SUMIF(EFEITO!$B$2:$B$174,$Q$11,EFEITO!$AE$2:$AE$174)</f>
        <v>0</v>
      </c>
      <c r="AB11" s="42">
        <f ca="1">SUMIF(EFEITO!$B$2:$B$174,$Q$11,EFEITO!$AF$2:$AF$174)</f>
        <v>1604632.6324756038</v>
      </c>
      <c r="AC11" s="42">
        <f>SUMIF(EFEITO!$B$2:$B$174,$Q$11,EFEITO!$AG$2:$AH$174)</f>
        <v>634141.83320577047</v>
      </c>
      <c r="AD11" s="42">
        <f>SUMIF(SUBSIDIO!$B$2:$B$174,$Q$11,SUBSIDIO!$AD$2:$AD$174)</f>
        <v>0</v>
      </c>
      <c r="AE11" s="42">
        <f ca="1">SUMIF(SUBSIDIO!$B$2:$B$174,$Q$11,SUBSIDIO!$AE$2:$AE$174)</f>
        <v>230.74137899539608</v>
      </c>
      <c r="AF11" s="42" t="str">
        <f>IF(ABS($X$11-$AA$11)&lt;0.01,"OK","ERRO")</f>
        <v>OK</v>
      </c>
      <c r="AG11" s="42" t="str">
        <f ca="1">IF(ABS($Y$11-$AB$11)&lt;0.01,"OK","ERRO")</f>
        <v>OK</v>
      </c>
      <c r="AH11" s="42" t="str">
        <f>IF(ABS($Z$11-$AC$11)&lt;0.01,"OK","ERRO")</f>
        <v>OK</v>
      </c>
      <c r="AI11" s="42" t="str">
        <f>IF(ABS($U$11-$AD$11)&lt;0.01,"OK","ERRO")</f>
        <v>OK</v>
      </c>
      <c r="AJ11" s="42" t="str">
        <f ca="1">IF(ABS(($V$11+$W$11)-$AE$11)&lt;0.01,"OK","ERRO")</f>
        <v>OK</v>
      </c>
    </row>
    <row r="12" spans="1:40" ht="11.25" customHeight="1" x14ac:dyDescent="0.2">
      <c r="A12" s="41" t="s">
        <v>21</v>
      </c>
      <c r="B12" s="41" t="s">
        <v>22</v>
      </c>
      <c r="C12" s="41" t="s">
        <v>23</v>
      </c>
      <c r="D12" s="41" t="s">
        <v>24</v>
      </c>
      <c r="E12" s="41" t="s">
        <v>24</v>
      </c>
      <c r="F12" s="41" t="s">
        <v>25</v>
      </c>
      <c r="G12" s="41" t="s">
        <v>25</v>
      </c>
      <c r="H12" s="41" t="s">
        <v>25</v>
      </c>
      <c r="I12" s="60">
        <v>44652</v>
      </c>
      <c r="J12" s="61">
        <f>EFEITO!$J$12*EFEITO!$Y$12</f>
        <v>0</v>
      </c>
      <c r="K12" s="61">
        <f ca="1">EFEITO!$L$12*EFEITO!$Z$12</f>
        <v>131866.94061671675</v>
      </c>
      <c r="L12" s="61">
        <f>EFEITO!$N$12*EFEITO!$AA$12</f>
        <v>52113.076706479478</v>
      </c>
      <c r="M12" s="61">
        <f>$J$12-EFEITO!$K$12*EFEITO!$Y$12</f>
        <v>0</v>
      </c>
      <c r="N12" s="61">
        <f ca="1">$K$12-EFEITO!$M$12*EFEITO!$Z$12</f>
        <v>0</v>
      </c>
      <c r="O12" s="61">
        <f>$L$12-EFEITO!$O$12*EFEITO!$AA$12</f>
        <v>0</v>
      </c>
      <c r="P12" s="45"/>
      <c r="Q12" s="61" t="s">
        <v>34</v>
      </c>
      <c r="R12" s="61">
        <f>SUMIF($B$2:$B$174,$Q$12,$J$2:$J$174)</f>
        <v>0</v>
      </c>
      <c r="S12" s="61">
        <f ca="1">SUMIF($B$2:$B$174,$Q$12,$K$2:$K$174)</f>
        <v>73340.899316479132</v>
      </c>
      <c r="T12" s="61">
        <f>SUMIF($B$2:$B$174,$Q$12,$L$2:$L$174)</f>
        <v>28983.912828545203</v>
      </c>
      <c r="U12" s="61">
        <f>SUMIF($B$2:$B$174,$Q$12,$M$2:$M$174)</f>
        <v>0</v>
      </c>
      <c r="V12" s="61">
        <f ca="1">SUMIF($B$2:$B$174,$Q$12,$N$2:$N$174)</f>
        <v>0</v>
      </c>
      <c r="W12" s="61">
        <f>SUMIF($B$2:$B$174,$Q$12,$O$2:$O$174)</f>
        <v>0</v>
      </c>
      <c r="X12" s="42">
        <f>$R$12-$U$12</f>
        <v>0</v>
      </c>
      <c r="Y12" s="42">
        <f ca="1">$S$12-$V$12</f>
        <v>73340.899316479132</v>
      </c>
      <c r="Z12" s="42">
        <f>$T$12-$W$12</f>
        <v>28983.912828545203</v>
      </c>
      <c r="AA12" s="42">
        <f>SUMIF(EFEITO!$B$2:$B$174,$Q$12,EFEITO!$AE$2:$AE$174)</f>
        <v>0</v>
      </c>
      <c r="AB12" s="42">
        <f ca="1">SUMIF(EFEITO!$B$2:$B$174,$Q$12,EFEITO!$AF$2:$AF$174)</f>
        <v>73340.899316479132</v>
      </c>
      <c r="AC12" s="42">
        <f>SUMIF(EFEITO!$B$2:$B$174,$Q$12,EFEITO!$AG$2:$AH$174)</f>
        <v>28983.912828545203</v>
      </c>
      <c r="AD12" s="42">
        <f>SUMIF(SUBSIDIO!$B$2:$B$174,$Q$12,SUBSIDIO!$AD$2:$AD$174)</f>
        <v>0</v>
      </c>
      <c r="AE12" s="42">
        <f>SUMIF(SUBSIDIO!$B$2:$B$174,$Q$12,SUBSIDIO!$AE$2:$AE$174)</f>
        <v>0</v>
      </c>
      <c r="AF12" s="42" t="str">
        <f>IF(ABS($X$12-$AA$12)&lt;0.01,"OK","ERRO")</f>
        <v>OK</v>
      </c>
      <c r="AG12" s="42" t="str">
        <f ca="1">IF(ABS($Y$12-$AB$12)&lt;0.01,"OK","ERRO")</f>
        <v>OK</v>
      </c>
      <c r="AH12" s="42" t="str">
        <f>IF(ABS($Z$12-$AC$12)&lt;0.01,"OK","ERRO")</f>
        <v>OK</v>
      </c>
      <c r="AI12" s="42" t="str">
        <f>IF(ABS($U$12-$AD$12)&lt;0.01,"OK","ERRO")</f>
        <v>OK</v>
      </c>
      <c r="AJ12" s="42" t="str">
        <f ca="1">IF(ABS(($V$12+$W$12)-$AE$12)&lt;0.01,"OK","ERRO")</f>
        <v>OK</v>
      </c>
    </row>
    <row r="13" spans="1:40" ht="11.25" customHeight="1" x14ac:dyDescent="0.2">
      <c r="A13" s="41" t="s">
        <v>27</v>
      </c>
      <c r="B13" s="41" t="s">
        <v>22</v>
      </c>
      <c r="C13" s="41" t="s">
        <v>23</v>
      </c>
      <c r="D13" s="41" t="s">
        <v>24</v>
      </c>
      <c r="E13" s="41" t="s">
        <v>24</v>
      </c>
      <c r="F13" s="41" t="s">
        <v>25</v>
      </c>
      <c r="G13" s="41" t="s">
        <v>25</v>
      </c>
      <c r="H13" s="41" t="s">
        <v>25</v>
      </c>
      <c r="I13" s="60">
        <v>44652</v>
      </c>
      <c r="J13" s="61">
        <f>EFEITO!$J$13*EFEITO!$Y$13</f>
        <v>0</v>
      </c>
      <c r="K13" s="61">
        <f ca="1">EFEITO!$L$13*EFEITO!$Z$13</f>
        <v>3582.4954008596378</v>
      </c>
      <c r="L13" s="61">
        <f>EFEITO!$N$13*EFEITO!$AA$13</f>
        <v>1415.7821266836988</v>
      </c>
      <c r="M13" s="61">
        <f>$J$13-EFEITO!$K$13*EFEITO!$Y$13</f>
        <v>0</v>
      </c>
      <c r="N13" s="61">
        <f ca="1">$K$13-EFEITO!$M$13*EFEITO!$Z$13</f>
        <v>0</v>
      </c>
      <c r="O13" s="61">
        <f>$L$13-EFEITO!$O$13*EFEITO!$AA$13</f>
        <v>0</v>
      </c>
      <c r="P13" s="45"/>
      <c r="Q13" s="61" t="s">
        <v>71</v>
      </c>
      <c r="R13" s="61">
        <f>SUMIF($B$2:$B$174,$Q$13,$J$2:$J$174)</f>
        <v>0</v>
      </c>
      <c r="S13" s="61">
        <f>SUMIF($B$2:$B$174,$Q$13,$K$2:$K$174)</f>
        <v>0</v>
      </c>
      <c r="T13" s="61">
        <f>SUMIF($B$2:$B$174,$Q$13,$L$2:$L$174)</f>
        <v>0</v>
      </c>
      <c r="U13" s="61">
        <f>SUMIF($B$2:$B$174,$Q$13,$M$2:$M$174)</f>
        <v>0</v>
      </c>
      <c r="V13" s="61">
        <f>SUMIF($B$2:$B$174,$Q$13,$N$2:$N$174)</f>
        <v>0</v>
      </c>
      <c r="W13" s="61">
        <f>SUMIF($B$2:$B$174,$Q$13,$O$2:$O$174)</f>
        <v>0</v>
      </c>
      <c r="X13" s="42">
        <f>$R$13-$U$13</f>
        <v>0</v>
      </c>
      <c r="Y13" s="42">
        <f>$S$13-$V$13</f>
        <v>0</v>
      </c>
      <c r="Z13" s="42">
        <f>$T$13-$W$13</f>
        <v>0</v>
      </c>
      <c r="AA13" s="42">
        <f>SUMIF(EFEITO!$B$2:$B$174,$Q$13,EFEITO!$AE$2:$AE$174)</f>
        <v>0</v>
      </c>
      <c r="AB13" s="42">
        <f>SUMIF(EFEITO!$B$2:$B$174,$Q$13,EFEITO!$AF$2:$AF$174)</f>
        <v>0</v>
      </c>
      <c r="AC13" s="42">
        <f>SUMIF(EFEITO!$B$2:$B$174,$Q$13,EFEITO!$AG$2:$AH$174)</f>
        <v>0</v>
      </c>
      <c r="AD13" s="42">
        <f>SUMIF(SUBSIDIO!$B$2:$B$174,$Q$13,SUBSIDIO!$AD$2:$AD$174)</f>
        <v>0</v>
      </c>
      <c r="AE13" s="42">
        <f>SUMIF(SUBSIDIO!$B$2:$B$174,$Q$13,SUBSIDIO!$AE$2:$AE$174)</f>
        <v>0</v>
      </c>
      <c r="AF13" s="42" t="str">
        <f>IF(ABS($X$13-$AA$13)&lt;0.01,"OK","ERRO")</f>
        <v>OK</v>
      </c>
      <c r="AG13" s="42" t="str">
        <f>IF(ABS($Y$13-$AB$13)&lt;0.01,"OK","ERRO")</f>
        <v>OK</v>
      </c>
      <c r="AH13" s="42" t="str">
        <f>IF(ABS($Z$13-$AC$13)&lt;0.01,"OK","ERRO")</f>
        <v>OK</v>
      </c>
      <c r="AI13" s="42" t="str">
        <f>IF(ABS($U$13-$AD$13)&lt;0.01,"OK","ERRO")</f>
        <v>OK</v>
      </c>
      <c r="AJ13" s="42" t="str">
        <f>IF(ABS(($V$13+$W$13)-$AE$13)&lt;0.01,"OK","ERRO")</f>
        <v>OK</v>
      </c>
    </row>
    <row r="14" spans="1:40" ht="11.25" customHeight="1" x14ac:dyDescent="0.2">
      <c r="A14" s="41" t="s">
        <v>21</v>
      </c>
      <c r="B14" s="41" t="s">
        <v>22</v>
      </c>
      <c r="C14" s="41" t="s">
        <v>23</v>
      </c>
      <c r="D14" s="41" t="s">
        <v>24</v>
      </c>
      <c r="E14" s="41" t="s">
        <v>24</v>
      </c>
      <c r="F14" s="41" t="s">
        <v>25</v>
      </c>
      <c r="G14" s="41" t="s">
        <v>25</v>
      </c>
      <c r="H14" s="41" t="s">
        <v>25</v>
      </c>
      <c r="I14" s="60">
        <v>44682</v>
      </c>
      <c r="J14" s="61">
        <f>EFEITO!$J$14*EFEITO!$Y$14</f>
        <v>0</v>
      </c>
      <c r="K14" s="61">
        <f ca="1">EFEITO!$L$14*EFEITO!$Z$14</f>
        <v>128212.0175612129</v>
      </c>
      <c r="L14" s="61">
        <f>EFEITO!$N$14*EFEITO!$AA$14</f>
        <v>50668.671576149136</v>
      </c>
      <c r="M14" s="61">
        <f>$J$14-EFEITO!$K$14*EFEITO!$Y$14</f>
        <v>0</v>
      </c>
      <c r="N14" s="61">
        <f ca="1">$K$14-EFEITO!$M$14*EFEITO!$Z$14</f>
        <v>0</v>
      </c>
      <c r="O14" s="61">
        <f>$L$14-EFEITO!$O$14*EFEITO!$AA$14</f>
        <v>0</v>
      </c>
      <c r="P14" s="45"/>
      <c r="Q14" s="45"/>
      <c r="R14" s="45"/>
      <c r="S14" s="45"/>
      <c r="T14" s="45"/>
      <c r="U14" s="45"/>
      <c r="V14" s="45"/>
      <c r="W14" s="4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40" ht="11.25" customHeight="1" x14ac:dyDescent="0.2">
      <c r="A15" s="41" t="s">
        <v>27</v>
      </c>
      <c r="B15" s="41" t="s">
        <v>22</v>
      </c>
      <c r="C15" s="41" t="s">
        <v>23</v>
      </c>
      <c r="D15" s="41" t="s">
        <v>24</v>
      </c>
      <c r="E15" s="41" t="s">
        <v>24</v>
      </c>
      <c r="F15" s="41" t="s">
        <v>25</v>
      </c>
      <c r="G15" s="41" t="s">
        <v>25</v>
      </c>
      <c r="H15" s="41" t="s">
        <v>25</v>
      </c>
      <c r="I15" s="60">
        <v>44682</v>
      </c>
      <c r="J15" s="61">
        <f>EFEITO!$J$15*EFEITO!$Y$15</f>
        <v>0</v>
      </c>
      <c r="K15" s="61">
        <f ca="1">EFEITO!$L$15*EFEITO!$Z$15</f>
        <v>4752.5179829314347</v>
      </c>
      <c r="L15" s="61">
        <f>EFEITO!$N$15*EFEITO!$AA$15</f>
        <v>1878.1685010293788</v>
      </c>
      <c r="M15" s="61">
        <f>$J$15-EFEITO!$K$15*EFEITO!$Y$15</f>
        <v>0</v>
      </c>
      <c r="N15" s="61">
        <f ca="1">$K$15-EFEITO!$M$15*EFEITO!$Z$15</f>
        <v>0</v>
      </c>
      <c r="O15" s="61">
        <f>$L$15-EFEITO!$O$15*EFEITO!$AA$15</f>
        <v>0</v>
      </c>
      <c r="P15" s="45"/>
      <c r="Q15" s="45"/>
      <c r="R15" s="45"/>
      <c r="S15" s="45"/>
      <c r="T15" s="45"/>
      <c r="U15" s="45"/>
      <c r="V15" s="45"/>
      <c r="W15" s="4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40" ht="11.25" customHeight="1" x14ac:dyDescent="0.2">
      <c r="A16" s="41" t="s">
        <v>21</v>
      </c>
      <c r="B16" s="41" t="s">
        <v>22</v>
      </c>
      <c r="C16" s="41" t="s">
        <v>23</v>
      </c>
      <c r="D16" s="41" t="s">
        <v>24</v>
      </c>
      <c r="E16" s="41" t="s">
        <v>24</v>
      </c>
      <c r="F16" s="41" t="s">
        <v>25</v>
      </c>
      <c r="G16" s="41" t="s">
        <v>25</v>
      </c>
      <c r="H16" s="41" t="s">
        <v>25</v>
      </c>
      <c r="I16" s="60">
        <v>44713</v>
      </c>
      <c r="J16" s="61">
        <f>EFEITO!$J$16*EFEITO!$Y$16</f>
        <v>0</v>
      </c>
      <c r="K16" s="61">
        <f ca="1">EFEITO!$L$16*EFEITO!$Z$16</f>
        <v>139449.48413883476</v>
      </c>
      <c r="L16" s="61">
        <f>EFEITO!$N$16*EFEITO!$AA$16</f>
        <v>55109.655457380308</v>
      </c>
      <c r="M16" s="61">
        <f>$J$16-EFEITO!$K$16*EFEITO!$Y$16</f>
        <v>0</v>
      </c>
      <c r="N16" s="61">
        <f ca="1">$K$16-EFEITO!$M$16*EFEITO!$Z$16</f>
        <v>0</v>
      </c>
      <c r="O16" s="61">
        <f>$L$16-EFEITO!$O$16*EFEITO!$AA$16</f>
        <v>0</v>
      </c>
      <c r="P16" s="45"/>
      <c r="Q16" s="45"/>
      <c r="R16" s="45"/>
      <c r="S16" s="45"/>
      <c r="T16" s="45"/>
      <c r="U16" s="45"/>
      <c r="V16" s="45"/>
      <c r="W16" s="4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1.25" customHeight="1" x14ac:dyDescent="0.2">
      <c r="A17" s="41" t="s">
        <v>27</v>
      </c>
      <c r="B17" s="41" t="s">
        <v>22</v>
      </c>
      <c r="C17" s="41" t="s">
        <v>23</v>
      </c>
      <c r="D17" s="41" t="s">
        <v>24</v>
      </c>
      <c r="E17" s="41" t="s">
        <v>24</v>
      </c>
      <c r="F17" s="41" t="s">
        <v>25</v>
      </c>
      <c r="G17" s="41" t="s">
        <v>25</v>
      </c>
      <c r="H17" s="41" t="s">
        <v>25</v>
      </c>
      <c r="I17" s="60">
        <v>44713</v>
      </c>
      <c r="J17" s="61">
        <f>EFEITO!$J$17*EFEITO!$Y$17</f>
        <v>0</v>
      </c>
      <c r="K17" s="61">
        <f ca="1">EFEITO!$L$17*EFEITO!$Z$17</f>
        <v>4173.5828374193825</v>
      </c>
      <c r="L17" s="61">
        <f>EFEITO!$N$17*EFEITO!$AA$17</f>
        <v>1649.3765725517283</v>
      </c>
      <c r="M17" s="61">
        <f>$J$17-EFEITO!$K$17*EFEITO!$Y$17</f>
        <v>0</v>
      </c>
      <c r="N17" s="61">
        <f ca="1">$K$17-EFEITO!$M$17*EFEITO!$Z$17</f>
        <v>0</v>
      </c>
      <c r="O17" s="61">
        <f>$L$17-EFEITO!$O$17*EFEITO!$AA$17</f>
        <v>0</v>
      </c>
      <c r="P17" s="45"/>
      <c r="Q17" s="45"/>
      <c r="R17" s="45"/>
      <c r="S17" s="45"/>
      <c r="T17" s="45"/>
      <c r="U17" s="45"/>
      <c r="V17" s="45"/>
      <c r="W17" s="4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1.25" customHeight="1" x14ac:dyDescent="0.2">
      <c r="A18" s="41" t="s">
        <v>21</v>
      </c>
      <c r="B18" s="41" t="s">
        <v>22</v>
      </c>
      <c r="C18" s="41" t="s">
        <v>23</v>
      </c>
      <c r="D18" s="41" t="s">
        <v>24</v>
      </c>
      <c r="E18" s="41" t="s">
        <v>24</v>
      </c>
      <c r="F18" s="41" t="s">
        <v>25</v>
      </c>
      <c r="G18" s="41" t="s">
        <v>25</v>
      </c>
      <c r="H18" s="41" t="s">
        <v>25</v>
      </c>
      <c r="I18" s="60">
        <v>44743</v>
      </c>
      <c r="J18" s="61">
        <f>EFEITO!$J$18*EFEITO!$Y$18</f>
        <v>0</v>
      </c>
      <c r="K18" s="61">
        <f ca="1">EFEITO!$L$18*EFEITO!$Z$18</f>
        <v>138925.47734885826</v>
      </c>
      <c r="L18" s="61">
        <f>EFEITO!$N$18*EFEITO!$AA$18</f>
        <v>54902.570907507157</v>
      </c>
      <c r="M18" s="61">
        <f>$J$18-EFEITO!$K$18*EFEITO!$Y$18</f>
        <v>0</v>
      </c>
      <c r="N18" s="61">
        <f ca="1">$K$18-EFEITO!$M$18*EFEITO!$Z$18</f>
        <v>0</v>
      </c>
      <c r="O18" s="61">
        <f>$L$18-EFEITO!$O$18*EFEITO!$AA$18</f>
        <v>0</v>
      </c>
      <c r="P18" s="45"/>
      <c r="Q18" s="45"/>
      <c r="R18" s="45"/>
      <c r="S18" s="45"/>
      <c r="T18" s="45"/>
      <c r="U18" s="45"/>
      <c r="V18" s="45"/>
      <c r="W18" s="4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1.25" customHeight="1" x14ac:dyDescent="0.2">
      <c r="A19" s="41" t="s">
        <v>27</v>
      </c>
      <c r="B19" s="41" t="s">
        <v>22</v>
      </c>
      <c r="C19" s="41" t="s">
        <v>23</v>
      </c>
      <c r="D19" s="41" t="s">
        <v>24</v>
      </c>
      <c r="E19" s="41" t="s">
        <v>24</v>
      </c>
      <c r="F19" s="41" t="s">
        <v>25</v>
      </c>
      <c r="G19" s="41" t="s">
        <v>25</v>
      </c>
      <c r="H19" s="41" t="s">
        <v>25</v>
      </c>
      <c r="I19" s="60">
        <v>44743</v>
      </c>
      <c r="J19" s="61">
        <f>EFEITO!$J$19*EFEITO!$Y$19</f>
        <v>0</v>
      </c>
      <c r="K19" s="61">
        <f ca="1">EFEITO!$L$19*EFEITO!$Z$19</f>
        <v>3826.0273134553881</v>
      </c>
      <c r="L19" s="61">
        <f>EFEITO!$N$19*EFEITO!$AA$19</f>
        <v>1512.024575186892</v>
      </c>
      <c r="M19" s="61">
        <f>$J$19-EFEITO!$K$19*EFEITO!$Y$19</f>
        <v>0</v>
      </c>
      <c r="N19" s="61">
        <f ca="1">$K$19-EFEITO!$M$19*EFEITO!$Z$19</f>
        <v>0</v>
      </c>
      <c r="O19" s="61">
        <f>$L$19-EFEITO!$O$19*EFEITO!$AA$19</f>
        <v>0</v>
      </c>
      <c r="P19" s="45"/>
      <c r="Q19" s="45"/>
      <c r="R19" s="45"/>
      <c r="S19" s="45"/>
      <c r="T19" s="45"/>
      <c r="U19" s="45"/>
      <c r="V19" s="45"/>
      <c r="W19" s="4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1.25" customHeight="1" x14ac:dyDescent="0.2">
      <c r="A20" s="41" t="s">
        <v>21</v>
      </c>
      <c r="B20" s="41" t="s">
        <v>22</v>
      </c>
      <c r="C20" s="41" t="s">
        <v>23</v>
      </c>
      <c r="D20" s="41" t="s">
        <v>24</v>
      </c>
      <c r="E20" s="41" t="s">
        <v>24</v>
      </c>
      <c r="F20" s="41" t="s">
        <v>25</v>
      </c>
      <c r="G20" s="41" t="s">
        <v>25</v>
      </c>
      <c r="H20" s="41" t="s">
        <v>25</v>
      </c>
      <c r="I20" s="60">
        <v>44774</v>
      </c>
      <c r="J20" s="61">
        <f>EFEITO!$J$20*EFEITO!$Y$20</f>
        <v>0</v>
      </c>
      <c r="K20" s="61">
        <f ca="1">EFEITO!$L$20*EFEITO!$Z$20</f>
        <v>136341.90027211892</v>
      </c>
      <c r="L20" s="61">
        <f>EFEITO!$N$20*EFEITO!$AA$20</f>
        <v>53881.555710312605</v>
      </c>
      <c r="M20" s="61">
        <f>$J$20-EFEITO!$K$20*EFEITO!$Y$20</f>
        <v>0</v>
      </c>
      <c r="N20" s="61">
        <f ca="1">$K$20-EFEITO!$M$20*EFEITO!$Z$20</f>
        <v>0</v>
      </c>
      <c r="O20" s="61">
        <f>$L$20-EFEITO!$O$20*EFEITO!$AA$20</f>
        <v>0</v>
      </c>
      <c r="P20" s="45"/>
      <c r="Q20" s="45"/>
      <c r="R20" s="45"/>
      <c r="S20" s="45"/>
      <c r="T20" s="45"/>
      <c r="U20" s="45"/>
      <c r="V20" s="45"/>
      <c r="W20" s="4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1.25" customHeight="1" x14ac:dyDescent="0.2">
      <c r="A21" s="41" t="s">
        <v>27</v>
      </c>
      <c r="B21" s="41" t="s">
        <v>22</v>
      </c>
      <c r="C21" s="41" t="s">
        <v>23</v>
      </c>
      <c r="D21" s="41" t="s">
        <v>24</v>
      </c>
      <c r="E21" s="41" t="s">
        <v>24</v>
      </c>
      <c r="F21" s="41" t="s">
        <v>25</v>
      </c>
      <c r="G21" s="41" t="s">
        <v>25</v>
      </c>
      <c r="H21" s="41" t="s">
        <v>25</v>
      </c>
      <c r="I21" s="60">
        <v>44774</v>
      </c>
      <c r="J21" s="61">
        <f>EFEITO!$J$21*EFEITO!$Y$21</f>
        <v>0</v>
      </c>
      <c r="K21" s="61">
        <f ca="1">EFEITO!$L$21*EFEITO!$Z$21</f>
        <v>4156.083538310706</v>
      </c>
      <c r="L21" s="61">
        <f>EFEITO!$N$21*EFEITO!$AA$21</f>
        <v>1642.4609475095829</v>
      </c>
      <c r="M21" s="61">
        <f>$J$21-EFEITO!$K$21*EFEITO!$Y$21</f>
        <v>0</v>
      </c>
      <c r="N21" s="61">
        <f ca="1">$K$21-EFEITO!$M$21*EFEITO!$Z$21</f>
        <v>0</v>
      </c>
      <c r="O21" s="61">
        <f>$L$21-EFEITO!$O$21*EFEITO!$AA$21</f>
        <v>0</v>
      </c>
      <c r="P21" s="45"/>
      <c r="Q21" s="45"/>
      <c r="R21" s="45"/>
      <c r="S21" s="45"/>
      <c r="T21" s="45"/>
      <c r="U21" s="45"/>
      <c r="V21" s="45"/>
      <c r="W21" s="4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1.25" customHeight="1" x14ac:dyDescent="0.2">
      <c r="A22" s="41" t="s">
        <v>21</v>
      </c>
      <c r="B22" s="41" t="s">
        <v>22</v>
      </c>
      <c r="C22" s="41" t="s">
        <v>23</v>
      </c>
      <c r="D22" s="41" t="s">
        <v>24</v>
      </c>
      <c r="E22" s="41" t="s">
        <v>24</v>
      </c>
      <c r="F22" s="41" t="s">
        <v>25</v>
      </c>
      <c r="G22" s="41" t="s">
        <v>25</v>
      </c>
      <c r="H22" s="41" t="s">
        <v>25</v>
      </c>
      <c r="I22" s="60">
        <v>44805</v>
      </c>
      <c r="J22" s="61">
        <f>EFEITO!$J$22*EFEITO!$Y$22</f>
        <v>0</v>
      </c>
      <c r="K22" s="61">
        <f ca="1">EFEITO!$L$22*EFEITO!$Z$22</f>
        <v>142917.74800384606</v>
      </c>
      <c r="L22" s="61">
        <f>EFEITO!$N$22*EFEITO!$AA$22</f>
        <v>56480.293920594442</v>
      </c>
      <c r="M22" s="61">
        <f>$J$22-EFEITO!$K$22*EFEITO!$Y$22</f>
        <v>0</v>
      </c>
      <c r="N22" s="61">
        <f ca="1">$K$22-EFEITO!$M$22*EFEITO!$Z$22</f>
        <v>0</v>
      </c>
      <c r="O22" s="61">
        <f>$L$22-EFEITO!$O$22*EFEITO!$AA$22</f>
        <v>0</v>
      </c>
      <c r="P22" s="45"/>
      <c r="Q22" s="45"/>
      <c r="R22" s="45"/>
      <c r="S22" s="45"/>
      <c r="T22" s="45"/>
      <c r="U22" s="45"/>
      <c r="V22" s="45"/>
      <c r="W22" s="4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1.25" customHeight="1" x14ac:dyDescent="0.2">
      <c r="A23" s="41" t="s">
        <v>27</v>
      </c>
      <c r="B23" s="41" t="s">
        <v>22</v>
      </c>
      <c r="C23" s="41" t="s">
        <v>23</v>
      </c>
      <c r="D23" s="41" t="s">
        <v>24</v>
      </c>
      <c r="E23" s="41" t="s">
        <v>24</v>
      </c>
      <c r="F23" s="41" t="s">
        <v>25</v>
      </c>
      <c r="G23" s="41" t="s">
        <v>25</v>
      </c>
      <c r="H23" s="41" t="s">
        <v>25</v>
      </c>
      <c r="I23" s="60">
        <v>44805</v>
      </c>
      <c r="J23" s="61">
        <f>EFEITO!$J$23*EFEITO!$Y$23</f>
        <v>0</v>
      </c>
      <c r="K23" s="61">
        <f ca="1">EFEITO!$L$23*EFEITO!$Z$23</f>
        <v>5264.3724818602277</v>
      </c>
      <c r="L23" s="61">
        <f>EFEITO!$N$23*EFEITO!$AA$23</f>
        <v>2080.450533512138</v>
      </c>
      <c r="M23" s="61">
        <f>$J$23-EFEITO!$K$23*EFEITO!$Y$23</f>
        <v>0</v>
      </c>
      <c r="N23" s="61">
        <f ca="1">$K$23-EFEITO!$M$23*EFEITO!$Z$23</f>
        <v>0</v>
      </c>
      <c r="O23" s="61">
        <f>$L$23-EFEITO!$O$23*EFEITO!$AA$23</f>
        <v>0</v>
      </c>
      <c r="P23" s="45"/>
      <c r="Q23" s="45"/>
      <c r="R23" s="45"/>
      <c r="S23" s="45"/>
      <c r="T23" s="45"/>
      <c r="U23" s="45"/>
      <c r="V23" s="45"/>
      <c r="W23" s="4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1.25" customHeight="1" x14ac:dyDescent="0.2">
      <c r="A24" s="41" t="s">
        <v>21</v>
      </c>
      <c r="B24" s="41" t="s">
        <v>22</v>
      </c>
      <c r="C24" s="41" t="s">
        <v>23</v>
      </c>
      <c r="D24" s="41" t="s">
        <v>24</v>
      </c>
      <c r="E24" s="41" t="s">
        <v>24</v>
      </c>
      <c r="F24" s="41" t="s">
        <v>25</v>
      </c>
      <c r="G24" s="41" t="s">
        <v>25</v>
      </c>
      <c r="H24" s="41" t="s">
        <v>25</v>
      </c>
      <c r="I24" s="60">
        <v>44835</v>
      </c>
      <c r="J24" s="61">
        <f>EFEITO!$J$24*EFEITO!$Y$24</f>
        <v>0</v>
      </c>
      <c r="K24" s="61">
        <f ca="1">EFEITO!$L$24*EFEITO!$Z$24</f>
        <v>137414.70452580915</v>
      </c>
      <c r="L24" s="61">
        <f>EFEITO!$N$24*EFEITO!$AA$24</f>
        <v>54305.521945535256</v>
      </c>
      <c r="M24" s="61">
        <f>$J$24-EFEITO!$K$24*EFEITO!$Y$24</f>
        <v>0</v>
      </c>
      <c r="N24" s="61">
        <f ca="1">$K$24-EFEITO!$M$24*EFEITO!$Z$24</f>
        <v>0</v>
      </c>
      <c r="O24" s="61">
        <f>$L$24-EFEITO!$O$24*EFEITO!$AA$24</f>
        <v>0</v>
      </c>
      <c r="P24" s="45"/>
      <c r="Q24" s="45"/>
      <c r="R24" s="45"/>
      <c r="S24" s="45"/>
      <c r="T24" s="45"/>
      <c r="U24" s="45"/>
      <c r="V24" s="45"/>
      <c r="W24" s="4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1.25" customHeight="1" x14ac:dyDescent="0.2">
      <c r="A25" s="41" t="s">
        <v>27</v>
      </c>
      <c r="B25" s="41" t="s">
        <v>22</v>
      </c>
      <c r="C25" s="41" t="s">
        <v>23</v>
      </c>
      <c r="D25" s="41" t="s">
        <v>24</v>
      </c>
      <c r="E25" s="41" t="s">
        <v>24</v>
      </c>
      <c r="F25" s="41" t="s">
        <v>25</v>
      </c>
      <c r="G25" s="41" t="s">
        <v>25</v>
      </c>
      <c r="H25" s="41" t="s">
        <v>25</v>
      </c>
      <c r="I25" s="60">
        <v>44835</v>
      </c>
      <c r="J25" s="61">
        <f>EFEITO!$J$25*EFEITO!$Y$25</f>
        <v>0</v>
      </c>
      <c r="K25" s="61">
        <f ca="1">EFEITO!$L$25*EFEITO!$Z$25</f>
        <v>5026.6736689673689</v>
      </c>
      <c r="L25" s="61">
        <f>EFEITO!$N$25*EFEITO!$AA$25</f>
        <v>1986.5132933563268</v>
      </c>
      <c r="M25" s="61">
        <f>$J$25-EFEITO!$K$25*EFEITO!$Y$25</f>
        <v>0</v>
      </c>
      <c r="N25" s="61">
        <f ca="1">$K$25-EFEITO!$M$25*EFEITO!$Z$25</f>
        <v>0</v>
      </c>
      <c r="O25" s="61">
        <f>$L$25-EFEITO!$O$25*EFEITO!$AA$25</f>
        <v>0</v>
      </c>
      <c r="P25" s="45"/>
      <c r="Q25" s="45"/>
      <c r="R25" s="45"/>
      <c r="S25" s="45"/>
      <c r="T25" s="45"/>
      <c r="U25" s="45"/>
      <c r="V25" s="45"/>
      <c r="W25" s="4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1.25" customHeight="1" x14ac:dyDescent="0.2">
      <c r="A26" s="41" t="s">
        <v>21</v>
      </c>
      <c r="B26" s="41" t="s">
        <v>22</v>
      </c>
      <c r="C26" s="41" t="s">
        <v>23</v>
      </c>
      <c r="D26" s="41" t="s">
        <v>24</v>
      </c>
      <c r="E26" s="41" t="s">
        <v>41</v>
      </c>
      <c r="F26" s="41" t="s">
        <v>25</v>
      </c>
      <c r="G26" s="41" t="s">
        <v>25</v>
      </c>
      <c r="H26" s="41" t="s">
        <v>25</v>
      </c>
      <c r="I26" s="60">
        <v>44562</v>
      </c>
      <c r="J26" s="61">
        <f>EFEITO!$J$26*EFEITO!$Y$2</f>
        <v>0</v>
      </c>
      <c r="K26" s="61">
        <f ca="1">EFEITO!$L$26*EFEITO!$Z$56</f>
        <v>10.563913308000222</v>
      </c>
      <c r="L26" s="61">
        <f>EFEITO!$N$26*EFEITO!$AA$56</f>
        <v>5.7630208684546762</v>
      </c>
      <c r="M26" s="61">
        <f>$J$26-EFEITO!$K$26*EFEITO!$Y$26</f>
        <v>0</v>
      </c>
      <c r="N26" s="61">
        <f ca="1">$K$26-EFEITO!$M$26*EFEITO!$Z$26</f>
        <v>6.8665436502001445</v>
      </c>
      <c r="O26" s="61">
        <f>$L$26-EFEITO!$O$26*EFEITO!$AA$26</f>
        <v>3.7459635644955398</v>
      </c>
      <c r="P26" s="45"/>
      <c r="Q26" s="45"/>
      <c r="R26" s="45"/>
      <c r="S26" s="45"/>
      <c r="T26" s="45"/>
      <c r="U26" s="45"/>
      <c r="V26" s="45"/>
      <c r="W26" s="4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1.25" customHeight="1" x14ac:dyDescent="0.2">
      <c r="A27" s="41" t="s">
        <v>21</v>
      </c>
      <c r="B27" s="41" t="s">
        <v>22</v>
      </c>
      <c r="C27" s="41" t="s">
        <v>23</v>
      </c>
      <c r="D27" s="41" t="s">
        <v>24</v>
      </c>
      <c r="E27" s="41" t="s">
        <v>41</v>
      </c>
      <c r="F27" s="41" t="s">
        <v>25</v>
      </c>
      <c r="G27" s="41" t="s">
        <v>25</v>
      </c>
      <c r="H27" s="41" t="s">
        <v>25</v>
      </c>
      <c r="I27" s="60">
        <v>44593</v>
      </c>
      <c r="J27" s="61">
        <f>EFEITO!$J$27*EFEITO!$Y$2</f>
        <v>0</v>
      </c>
      <c r="K27" s="61">
        <f ca="1">EFEITO!$L$27*EFEITO!$Z$56</f>
        <v>10.563913308000222</v>
      </c>
      <c r="L27" s="61">
        <f>EFEITO!$N$27*EFEITO!$AA$56</f>
        <v>5.7630208684546762</v>
      </c>
      <c r="M27" s="61">
        <f>$J$27-EFEITO!$K$27*EFEITO!$Y$27</f>
        <v>0</v>
      </c>
      <c r="N27" s="61">
        <f ca="1">$K$27-EFEITO!$M$27*EFEITO!$Z$27</f>
        <v>6.8665436502001445</v>
      </c>
      <c r="O27" s="61">
        <f>$L$27-EFEITO!$O$27*EFEITO!$AA$27</f>
        <v>3.7459635644955398</v>
      </c>
      <c r="P27" s="45"/>
      <c r="Q27" s="45"/>
      <c r="R27" s="45"/>
      <c r="S27" s="45"/>
      <c r="T27" s="45"/>
      <c r="U27" s="45"/>
      <c r="V27" s="45"/>
      <c r="W27" s="4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1.25" customHeight="1" x14ac:dyDescent="0.2">
      <c r="A28" s="41" t="s">
        <v>21</v>
      </c>
      <c r="B28" s="41" t="s">
        <v>22</v>
      </c>
      <c r="C28" s="41" t="s">
        <v>23</v>
      </c>
      <c r="D28" s="41" t="s">
        <v>24</v>
      </c>
      <c r="E28" s="41" t="s">
        <v>41</v>
      </c>
      <c r="F28" s="41" t="s">
        <v>25</v>
      </c>
      <c r="G28" s="41" t="s">
        <v>25</v>
      </c>
      <c r="H28" s="41" t="s">
        <v>25</v>
      </c>
      <c r="I28" s="60">
        <v>44621</v>
      </c>
      <c r="J28" s="61">
        <f>EFEITO!$J$28*EFEITO!$Y$2</f>
        <v>0</v>
      </c>
      <c r="K28" s="61">
        <f ca="1">EFEITO!$L$28*EFEITO!$Z$56</f>
        <v>21.127826616000444</v>
      </c>
      <c r="L28" s="61">
        <f>EFEITO!$N$28*EFEITO!$AA$56</f>
        <v>11.526041736909352</v>
      </c>
      <c r="M28" s="61">
        <f>$J$28-EFEITO!$K$28*EFEITO!$Y$28</f>
        <v>0</v>
      </c>
      <c r="N28" s="61">
        <f ca="1">$K$28-EFEITO!$M$28*EFEITO!$Z$28</f>
        <v>13.733087300400289</v>
      </c>
      <c r="O28" s="61">
        <f>$L$28-EFEITO!$O$28*EFEITO!$AA$28</f>
        <v>7.4919271289910796</v>
      </c>
      <c r="P28" s="45"/>
      <c r="Q28" s="45"/>
      <c r="R28" s="45"/>
      <c r="S28" s="45"/>
      <c r="T28" s="45"/>
      <c r="U28" s="45"/>
      <c r="V28" s="45"/>
      <c r="W28" s="4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1.25" customHeight="1" x14ac:dyDescent="0.2">
      <c r="A29" s="41" t="s">
        <v>21</v>
      </c>
      <c r="B29" s="41" t="s">
        <v>22</v>
      </c>
      <c r="C29" s="41" t="s">
        <v>23</v>
      </c>
      <c r="D29" s="41" t="s">
        <v>24</v>
      </c>
      <c r="E29" s="41" t="s">
        <v>41</v>
      </c>
      <c r="F29" s="41" t="s">
        <v>25</v>
      </c>
      <c r="G29" s="41" t="s">
        <v>25</v>
      </c>
      <c r="H29" s="41" t="s">
        <v>25</v>
      </c>
      <c r="I29" s="60">
        <v>44652</v>
      </c>
      <c r="J29" s="61">
        <f>EFEITO!$J$29*EFEITO!$Y$2</f>
        <v>0</v>
      </c>
      <c r="K29" s="61">
        <f ca="1">EFEITO!$L$29*EFEITO!$Z$56</f>
        <v>10.563913308000222</v>
      </c>
      <c r="L29" s="61">
        <f>EFEITO!$N$29*EFEITO!$AA$56</f>
        <v>5.7630208684546762</v>
      </c>
      <c r="M29" s="61">
        <f>$J$29-EFEITO!$K$29*EFEITO!$Y$29</f>
        <v>0</v>
      </c>
      <c r="N29" s="61">
        <f ca="1">$K$29-EFEITO!$M$29*EFEITO!$Z$29</f>
        <v>6.8665436502001445</v>
      </c>
      <c r="O29" s="61">
        <f>$L$29-EFEITO!$O$29*EFEITO!$AA$29</f>
        <v>3.7459635644955398</v>
      </c>
      <c r="P29" s="45"/>
      <c r="Q29" s="45"/>
      <c r="R29" s="45"/>
      <c r="S29" s="45"/>
      <c r="T29" s="45"/>
      <c r="U29" s="45"/>
      <c r="V29" s="45"/>
      <c r="W29" s="4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1.25" customHeight="1" x14ac:dyDescent="0.2">
      <c r="A30" s="41" t="s">
        <v>21</v>
      </c>
      <c r="B30" s="41" t="s">
        <v>22</v>
      </c>
      <c r="C30" s="41" t="s">
        <v>23</v>
      </c>
      <c r="D30" s="41" t="s">
        <v>24</v>
      </c>
      <c r="E30" s="41" t="s">
        <v>41</v>
      </c>
      <c r="F30" s="41" t="s">
        <v>25</v>
      </c>
      <c r="G30" s="41" t="s">
        <v>25</v>
      </c>
      <c r="H30" s="41" t="s">
        <v>25</v>
      </c>
      <c r="I30" s="60">
        <v>44682</v>
      </c>
      <c r="J30" s="61">
        <f>EFEITO!$J$30*EFEITO!$Y$2</f>
        <v>0</v>
      </c>
      <c r="K30" s="61">
        <f ca="1">EFEITO!$L$30*EFEITO!$Z$56</f>
        <v>10.563913308000222</v>
      </c>
      <c r="L30" s="61">
        <f>EFEITO!$N$30*EFEITO!$AA$56</f>
        <v>5.7630208684546762</v>
      </c>
      <c r="M30" s="61">
        <f>$J$30-EFEITO!$K$30*EFEITO!$Y$30</f>
        <v>0</v>
      </c>
      <c r="N30" s="61">
        <f ca="1">$K$30-EFEITO!$M$30*EFEITO!$Z$30</f>
        <v>6.8665436502001445</v>
      </c>
      <c r="O30" s="61">
        <f>$L$30-EFEITO!$O$30*EFEITO!$AA$30</f>
        <v>3.7459635644955398</v>
      </c>
      <c r="P30" s="45"/>
      <c r="Q30" s="45"/>
      <c r="R30" s="45"/>
      <c r="S30" s="45"/>
      <c r="T30" s="45"/>
      <c r="U30" s="45"/>
      <c r="V30" s="45"/>
      <c r="W30" s="4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1.25" customHeight="1" x14ac:dyDescent="0.2">
      <c r="A31" s="41" t="s">
        <v>21</v>
      </c>
      <c r="B31" s="41" t="s">
        <v>22</v>
      </c>
      <c r="C31" s="41" t="s">
        <v>23</v>
      </c>
      <c r="D31" s="41" t="s">
        <v>24</v>
      </c>
      <c r="E31" s="41" t="s">
        <v>41</v>
      </c>
      <c r="F31" s="41" t="s">
        <v>25</v>
      </c>
      <c r="G31" s="41" t="s">
        <v>25</v>
      </c>
      <c r="H31" s="41" t="s">
        <v>25</v>
      </c>
      <c r="I31" s="60">
        <v>44713</v>
      </c>
      <c r="J31" s="61">
        <f>EFEITO!$J$31*EFEITO!$Y$2</f>
        <v>0</v>
      </c>
      <c r="K31" s="61">
        <f ca="1">EFEITO!$L$31*EFEITO!$Z$56</f>
        <v>31.691739924000668</v>
      </c>
      <c r="L31" s="61">
        <f>EFEITO!$N$31*EFEITO!$AA$56</f>
        <v>17.289062605364027</v>
      </c>
      <c r="M31" s="61">
        <f>$J$31-EFEITO!$K$31*EFEITO!$Y$31</f>
        <v>0</v>
      </c>
      <c r="N31" s="61">
        <f ca="1">$K$31-EFEITO!$M$31*EFEITO!$Z$31</f>
        <v>20.599630950600435</v>
      </c>
      <c r="O31" s="61">
        <f>$L$31-EFEITO!$O$31*EFEITO!$AA$31</f>
        <v>11.237890693486618</v>
      </c>
      <c r="P31" s="45"/>
      <c r="Q31" s="45"/>
      <c r="R31" s="45"/>
      <c r="S31" s="45"/>
      <c r="T31" s="45"/>
      <c r="U31" s="45"/>
      <c r="V31" s="45"/>
      <c r="W31" s="4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1.25" customHeight="1" x14ac:dyDescent="0.2">
      <c r="A32" s="41" t="s">
        <v>21</v>
      </c>
      <c r="B32" s="41" t="s">
        <v>22</v>
      </c>
      <c r="C32" s="41" t="s">
        <v>23</v>
      </c>
      <c r="D32" s="41" t="s">
        <v>24</v>
      </c>
      <c r="E32" s="41" t="s">
        <v>41</v>
      </c>
      <c r="F32" s="41" t="s">
        <v>25</v>
      </c>
      <c r="G32" s="41" t="s">
        <v>25</v>
      </c>
      <c r="H32" s="41" t="s">
        <v>25</v>
      </c>
      <c r="I32" s="60">
        <v>44743</v>
      </c>
      <c r="J32" s="61">
        <f>EFEITO!$J$32*EFEITO!$Y$2</f>
        <v>0</v>
      </c>
      <c r="K32" s="61">
        <f ca="1">EFEITO!$L$32*EFEITO!$Z$56</f>
        <v>42.255653232000888</v>
      </c>
      <c r="L32" s="61">
        <f>EFEITO!$N$32*EFEITO!$AA$56</f>
        <v>23.052083473818705</v>
      </c>
      <c r="M32" s="61">
        <f>$J$32-EFEITO!$K$32*EFEITO!$Y$32</f>
        <v>0</v>
      </c>
      <c r="N32" s="61">
        <f ca="1">$K$32-EFEITO!$M$32*EFEITO!$Z$32</f>
        <v>27.466174600800578</v>
      </c>
      <c r="O32" s="61">
        <f>$L$32-EFEITO!$O$32*EFEITO!$AA$32</f>
        <v>14.983854257982159</v>
      </c>
      <c r="P32" s="45"/>
      <c r="Q32" s="45"/>
      <c r="R32" s="45"/>
      <c r="S32" s="45"/>
      <c r="T32" s="45"/>
      <c r="U32" s="45"/>
      <c r="V32" s="45"/>
      <c r="W32" s="4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1.25" customHeight="1" x14ac:dyDescent="0.2">
      <c r="A33" s="41" t="s">
        <v>21</v>
      </c>
      <c r="B33" s="41" t="s">
        <v>22</v>
      </c>
      <c r="C33" s="41" t="s">
        <v>23</v>
      </c>
      <c r="D33" s="41" t="s">
        <v>24</v>
      </c>
      <c r="E33" s="41" t="s">
        <v>41</v>
      </c>
      <c r="F33" s="41" t="s">
        <v>25</v>
      </c>
      <c r="G33" s="41" t="s">
        <v>25</v>
      </c>
      <c r="H33" s="41" t="s">
        <v>25</v>
      </c>
      <c r="I33" s="60">
        <v>44774</v>
      </c>
      <c r="J33" s="61">
        <f>EFEITO!$J$33*EFEITO!$Y$2</f>
        <v>0</v>
      </c>
      <c r="K33" s="61">
        <f ca="1">EFEITO!$L$33*EFEITO!$Z$56</f>
        <v>10.563913308000222</v>
      </c>
      <c r="L33" s="61">
        <f>EFEITO!$N$33*EFEITO!$AA$56</f>
        <v>5.7630208684546762</v>
      </c>
      <c r="M33" s="61">
        <f>$J$33-EFEITO!$K$33*EFEITO!$Y$33</f>
        <v>0</v>
      </c>
      <c r="N33" s="61">
        <f ca="1">$K$33-EFEITO!$M$33*EFEITO!$Z$33</f>
        <v>6.8665436502001445</v>
      </c>
      <c r="O33" s="61">
        <f>$L$33-EFEITO!$O$33*EFEITO!$AA$33</f>
        <v>3.7459635644955398</v>
      </c>
      <c r="P33" s="45"/>
      <c r="Q33" s="45"/>
      <c r="R33" s="45"/>
      <c r="S33" s="45"/>
      <c r="T33" s="45"/>
      <c r="U33" s="45"/>
      <c r="V33" s="45"/>
      <c r="W33" s="4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1.25" customHeight="1" x14ac:dyDescent="0.2">
      <c r="A34" s="41" t="s">
        <v>21</v>
      </c>
      <c r="B34" s="41" t="s">
        <v>22</v>
      </c>
      <c r="C34" s="41" t="s">
        <v>23</v>
      </c>
      <c r="D34" s="41" t="s">
        <v>24</v>
      </c>
      <c r="E34" s="41" t="s">
        <v>41</v>
      </c>
      <c r="F34" s="41" t="s">
        <v>25</v>
      </c>
      <c r="G34" s="41" t="s">
        <v>25</v>
      </c>
      <c r="H34" s="41" t="s">
        <v>25</v>
      </c>
      <c r="I34" s="60">
        <v>44805</v>
      </c>
      <c r="J34" s="61">
        <f>EFEITO!$J$34*EFEITO!$Y$2</f>
        <v>0</v>
      </c>
      <c r="K34" s="61">
        <f ca="1">EFEITO!$L$34*EFEITO!$Z$56</f>
        <v>10.563913308000222</v>
      </c>
      <c r="L34" s="61">
        <f>EFEITO!$N$34*EFEITO!$AA$56</f>
        <v>5.7630208684546762</v>
      </c>
      <c r="M34" s="61">
        <f>$J$34-EFEITO!$K$34*EFEITO!$Y$34</f>
        <v>0</v>
      </c>
      <c r="N34" s="61">
        <f ca="1">$K$34-EFEITO!$M$34*EFEITO!$Z$34</f>
        <v>6.8665436502001445</v>
      </c>
      <c r="O34" s="61">
        <f>$L$34-EFEITO!$O$34*EFEITO!$AA$34</f>
        <v>3.7459635644955398</v>
      </c>
      <c r="P34" s="45"/>
      <c r="Q34" s="45"/>
      <c r="R34" s="45"/>
      <c r="S34" s="45"/>
      <c r="T34" s="45"/>
      <c r="U34" s="45"/>
      <c r="V34" s="45"/>
      <c r="W34" s="4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1.25" customHeight="1" x14ac:dyDescent="0.2">
      <c r="A35" s="41" t="s">
        <v>21</v>
      </c>
      <c r="B35" s="41" t="s">
        <v>22</v>
      </c>
      <c r="C35" s="41" t="s">
        <v>23</v>
      </c>
      <c r="D35" s="41" t="s">
        <v>24</v>
      </c>
      <c r="E35" s="41" t="s">
        <v>41</v>
      </c>
      <c r="F35" s="41" t="s">
        <v>25</v>
      </c>
      <c r="G35" s="41" t="s">
        <v>25</v>
      </c>
      <c r="H35" s="41" t="s">
        <v>25</v>
      </c>
      <c r="I35" s="60">
        <v>44835</v>
      </c>
      <c r="J35" s="61">
        <f>EFEITO!$J$35*EFEITO!$Y$2</f>
        <v>0</v>
      </c>
      <c r="K35" s="61">
        <f ca="1">EFEITO!$L$35*EFEITO!$Z$56</f>
        <v>10.563913308000222</v>
      </c>
      <c r="L35" s="61">
        <f>EFEITO!$N$35*EFEITO!$AA$56</f>
        <v>5.7630208684546762</v>
      </c>
      <c r="M35" s="61">
        <f>$J$35-EFEITO!$K$35*EFEITO!$Y$35</f>
        <v>0</v>
      </c>
      <c r="N35" s="61">
        <f ca="1">$K$35-EFEITO!$M$35*EFEITO!$Z$35</f>
        <v>6.8665436502001445</v>
      </c>
      <c r="O35" s="61">
        <f>$L$35-EFEITO!$O$35*EFEITO!$AA$35</f>
        <v>3.7459635644955398</v>
      </c>
      <c r="P35" s="45"/>
      <c r="Q35" s="45"/>
      <c r="R35" s="45"/>
      <c r="S35" s="45"/>
      <c r="T35" s="45"/>
      <c r="U35" s="45"/>
      <c r="V35" s="45"/>
      <c r="W35" s="4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1.25" customHeight="1" x14ac:dyDescent="0.2">
      <c r="A36" s="41" t="s">
        <v>21</v>
      </c>
      <c r="B36" s="41" t="s">
        <v>22</v>
      </c>
      <c r="C36" s="41" t="s">
        <v>23</v>
      </c>
      <c r="D36" s="41" t="s">
        <v>24</v>
      </c>
      <c r="E36" s="41" t="s">
        <v>42</v>
      </c>
      <c r="F36" s="41" t="s">
        <v>25</v>
      </c>
      <c r="G36" s="41" t="s">
        <v>25</v>
      </c>
      <c r="H36" s="41" t="s">
        <v>25</v>
      </c>
      <c r="I36" s="60">
        <v>44593</v>
      </c>
      <c r="J36" s="61">
        <f>EFEITO!$J$36*EFEITO!$Y$2</f>
        <v>0</v>
      </c>
      <c r="K36" s="61">
        <f ca="1">EFEITO!$L$36*EFEITO!$Z$56</f>
        <v>30.98747903680065</v>
      </c>
      <c r="L36" s="61">
        <f>EFEITO!$N$36*EFEITO!$AA$56</f>
        <v>16.904861214133717</v>
      </c>
      <c r="M36" s="61">
        <f>$J$36-EFEITO!$K$36*EFEITO!$Y$36</f>
        <v>0</v>
      </c>
      <c r="N36" s="61">
        <f ca="1">$K$36-EFEITO!$M$36*EFEITO!$Z$36</f>
        <v>12.394991614720258</v>
      </c>
      <c r="O36" s="61">
        <f>$L$36-EFEITO!$O$36*EFEITO!$AA$36</f>
        <v>6.7619444856534887</v>
      </c>
      <c r="P36" s="45"/>
      <c r="Q36" s="45"/>
      <c r="R36" s="45"/>
      <c r="S36" s="45"/>
      <c r="T36" s="45"/>
      <c r="U36" s="45"/>
      <c r="V36" s="45"/>
      <c r="W36" s="4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1.25" customHeight="1" x14ac:dyDescent="0.2">
      <c r="A37" s="41" t="s">
        <v>21</v>
      </c>
      <c r="B37" s="41" t="s">
        <v>22</v>
      </c>
      <c r="C37" s="41" t="s">
        <v>23</v>
      </c>
      <c r="D37" s="41" t="s">
        <v>24</v>
      </c>
      <c r="E37" s="41" t="s">
        <v>42</v>
      </c>
      <c r="F37" s="41" t="s">
        <v>25</v>
      </c>
      <c r="G37" s="41" t="s">
        <v>25</v>
      </c>
      <c r="H37" s="41" t="s">
        <v>25</v>
      </c>
      <c r="I37" s="60">
        <v>44621</v>
      </c>
      <c r="J37" s="61">
        <f>EFEITO!$J$37*EFEITO!$Y$2</f>
        <v>0</v>
      </c>
      <c r="K37" s="61">
        <f ca="1">EFEITO!$L$37*EFEITO!$Z$56</f>
        <v>84.511306464001777</v>
      </c>
      <c r="L37" s="61">
        <f>EFEITO!$N$37*EFEITO!$AA$56</f>
        <v>46.10416694763741</v>
      </c>
      <c r="M37" s="61">
        <f>$J$37-EFEITO!$K$37*EFEITO!$Y$37</f>
        <v>0</v>
      </c>
      <c r="N37" s="61">
        <f ca="1">$K$37-EFEITO!$M$37*EFEITO!$Z$37</f>
        <v>33.804522585600708</v>
      </c>
      <c r="O37" s="61">
        <f>$L$37-EFEITO!$O$37*EFEITO!$AA$37</f>
        <v>18.441666779054966</v>
      </c>
      <c r="P37" s="45"/>
      <c r="Q37" s="45"/>
      <c r="R37" s="45"/>
      <c r="S37" s="45"/>
      <c r="T37" s="45"/>
      <c r="U37" s="45"/>
      <c r="V37" s="45"/>
      <c r="W37" s="4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1.25" customHeight="1" x14ac:dyDescent="0.2">
      <c r="A38" s="41" t="s">
        <v>21</v>
      </c>
      <c r="B38" s="41" t="s">
        <v>22</v>
      </c>
      <c r="C38" s="41" t="s">
        <v>23</v>
      </c>
      <c r="D38" s="41" t="s">
        <v>24</v>
      </c>
      <c r="E38" s="41" t="s">
        <v>42</v>
      </c>
      <c r="F38" s="41" t="s">
        <v>25</v>
      </c>
      <c r="G38" s="41" t="s">
        <v>25</v>
      </c>
      <c r="H38" s="41" t="s">
        <v>25</v>
      </c>
      <c r="I38" s="60">
        <v>44652</v>
      </c>
      <c r="J38" s="61">
        <f>EFEITO!$J$38*EFEITO!$Y$2</f>
        <v>0</v>
      </c>
      <c r="K38" s="61">
        <f ca="1">EFEITO!$L$38*EFEITO!$Z$56</f>
        <v>285.57778975960605</v>
      </c>
      <c r="L38" s="61">
        <f>EFEITO!$N$38*EFEITO!$AA$56</f>
        <v>155.79366414389142</v>
      </c>
      <c r="M38" s="61">
        <f>$J$38-EFEITO!$K$38*EFEITO!$Y$38</f>
        <v>0</v>
      </c>
      <c r="N38" s="61">
        <f ca="1">$K$38-EFEITO!$M$38*EFEITO!$Z$38</f>
        <v>114.23111590384244</v>
      </c>
      <c r="O38" s="61">
        <f>$L$38-EFEITO!$O$38*EFEITO!$AA$38</f>
        <v>62.317465657556568</v>
      </c>
      <c r="P38" s="45"/>
      <c r="Q38" s="45"/>
      <c r="R38" s="45"/>
      <c r="S38" s="45"/>
      <c r="T38" s="45"/>
      <c r="U38" s="45"/>
      <c r="V38" s="45"/>
      <c r="W38" s="4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1.25" customHeight="1" x14ac:dyDescent="0.2">
      <c r="A39" s="41" t="s">
        <v>21</v>
      </c>
      <c r="B39" s="41" t="s">
        <v>22</v>
      </c>
      <c r="C39" s="41" t="s">
        <v>23</v>
      </c>
      <c r="D39" s="41" t="s">
        <v>24</v>
      </c>
      <c r="E39" s="41" t="s">
        <v>42</v>
      </c>
      <c r="F39" s="41" t="s">
        <v>25</v>
      </c>
      <c r="G39" s="41" t="s">
        <v>25</v>
      </c>
      <c r="H39" s="41" t="s">
        <v>25</v>
      </c>
      <c r="I39" s="60">
        <v>44682</v>
      </c>
      <c r="J39" s="61">
        <f>EFEITO!$J$39*EFEITO!$Y$2</f>
        <v>0</v>
      </c>
      <c r="K39" s="61">
        <f ca="1">EFEITO!$L$39*EFEITO!$Z$56</f>
        <v>342.62292162280721</v>
      </c>
      <c r="L39" s="61">
        <f>EFEITO!$N$39*EFEITO!$AA$56</f>
        <v>186.91397683354666</v>
      </c>
      <c r="M39" s="61">
        <f>$J$39-EFEITO!$K$39*EFEITO!$Y$39</f>
        <v>0</v>
      </c>
      <c r="N39" s="61">
        <f ca="1">$K$39-EFEITO!$M$39*EFEITO!$Z$39</f>
        <v>137.04916864912289</v>
      </c>
      <c r="O39" s="61">
        <f>$L$39-EFEITO!$O$39*EFEITO!$AA$39</f>
        <v>74.765590733418662</v>
      </c>
      <c r="P39" s="45"/>
      <c r="Q39" s="45"/>
      <c r="R39" s="45"/>
      <c r="S39" s="45"/>
      <c r="T39" s="45"/>
      <c r="U39" s="45"/>
      <c r="V39" s="45"/>
      <c r="W39" s="4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1.25" customHeight="1" x14ac:dyDescent="0.2">
      <c r="A40" s="41" t="s">
        <v>21</v>
      </c>
      <c r="B40" s="41" t="s">
        <v>22</v>
      </c>
      <c r="C40" s="41" t="s">
        <v>23</v>
      </c>
      <c r="D40" s="41" t="s">
        <v>24</v>
      </c>
      <c r="E40" s="41" t="s">
        <v>42</v>
      </c>
      <c r="F40" s="41" t="s">
        <v>25</v>
      </c>
      <c r="G40" s="41" t="s">
        <v>25</v>
      </c>
      <c r="H40" s="41" t="s">
        <v>25</v>
      </c>
      <c r="I40" s="60">
        <v>44713</v>
      </c>
      <c r="J40" s="61">
        <f>EFEITO!$J$40*EFEITO!$Y$2</f>
        <v>0</v>
      </c>
      <c r="K40" s="61">
        <f ca="1">EFEITO!$L$40*EFEITO!$Z$56</f>
        <v>365.86353090040768</v>
      </c>
      <c r="L40" s="61">
        <f>EFEITO!$N$40*EFEITO!$AA$56</f>
        <v>199.59262274414692</v>
      </c>
      <c r="M40" s="61">
        <f>$J$40-EFEITO!$K$40*EFEITO!$Y$40</f>
        <v>0</v>
      </c>
      <c r="N40" s="61">
        <f ca="1">$K$40-EFEITO!$M$40*EFEITO!$Z$40</f>
        <v>146.34541236016307</v>
      </c>
      <c r="O40" s="61">
        <f>$L$40-EFEITO!$O$40*EFEITO!$AA$40</f>
        <v>79.837049097658763</v>
      </c>
      <c r="P40" s="45"/>
      <c r="Q40" s="45"/>
      <c r="R40" s="45"/>
      <c r="S40" s="45"/>
      <c r="T40" s="45"/>
      <c r="U40" s="45"/>
      <c r="V40" s="45"/>
      <c r="W40" s="4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1.25" customHeight="1" x14ac:dyDescent="0.2">
      <c r="A41" s="41" t="s">
        <v>21</v>
      </c>
      <c r="B41" s="41" t="s">
        <v>22</v>
      </c>
      <c r="C41" s="41" t="s">
        <v>23</v>
      </c>
      <c r="D41" s="41" t="s">
        <v>24</v>
      </c>
      <c r="E41" s="41" t="s">
        <v>42</v>
      </c>
      <c r="F41" s="41" t="s">
        <v>25</v>
      </c>
      <c r="G41" s="41" t="s">
        <v>25</v>
      </c>
      <c r="H41" s="41" t="s">
        <v>25</v>
      </c>
      <c r="I41" s="60">
        <v>44743</v>
      </c>
      <c r="J41" s="61">
        <f>EFEITO!$J$41*EFEITO!$Y$2</f>
        <v>0</v>
      </c>
      <c r="K41" s="61">
        <f ca="1">EFEITO!$L$41*EFEITO!$Z$56</f>
        <v>417.97883655320885</v>
      </c>
      <c r="L41" s="61">
        <f>EFEITO!$N$41*EFEITO!$AA$56</f>
        <v>228.02352569519002</v>
      </c>
      <c r="M41" s="61">
        <f>$J$41-EFEITO!$K$41*EFEITO!$Y$41</f>
        <v>0</v>
      </c>
      <c r="N41" s="61">
        <f ca="1">$K$41-EFEITO!$M$41*EFEITO!$Z$41</f>
        <v>167.19153462128355</v>
      </c>
      <c r="O41" s="61">
        <f>$L$41-EFEITO!$O$41*EFEITO!$AA$41</f>
        <v>91.209410278076007</v>
      </c>
      <c r="P41" s="45"/>
      <c r="Q41" s="45"/>
      <c r="R41" s="45"/>
      <c r="S41" s="45"/>
      <c r="T41" s="45"/>
      <c r="U41" s="45"/>
      <c r="V41" s="45"/>
      <c r="W41" s="4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1.25" customHeight="1" x14ac:dyDescent="0.2">
      <c r="A42" s="41" t="s">
        <v>21</v>
      </c>
      <c r="B42" s="41" t="s">
        <v>22</v>
      </c>
      <c r="C42" s="41" t="s">
        <v>23</v>
      </c>
      <c r="D42" s="41" t="s">
        <v>24</v>
      </c>
      <c r="E42" s="41" t="s">
        <v>42</v>
      </c>
      <c r="F42" s="41" t="s">
        <v>25</v>
      </c>
      <c r="G42" s="41" t="s">
        <v>25</v>
      </c>
      <c r="H42" s="41" t="s">
        <v>25</v>
      </c>
      <c r="I42" s="60">
        <v>44774</v>
      </c>
      <c r="J42" s="61">
        <f>EFEITO!$J$42*EFEITO!$Y$2</f>
        <v>0</v>
      </c>
      <c r="K42" s="61">
        <f ca="1">EFEITO!$L$42*EFEITO!$Z$56</f>
        <v>373.96253110320788</v>
      </c>
      <c r="L42" s="61">
        <f>EFEITO!$N$42*EFEITO!$AA$56</f>
        <v>204.01093874329555</v>
      </c>
      <c r="M42" s="61">
        <f>$J$42-EFEITO!$K$42*EFEITO!$Y$42</f>
        <v>0</v>
      </c>
      <c r="N42" s="61">
        <f ca="1">$K$42-EFEITO!$M$42*EFEITO!$Z$42</f>
        <v>149.58501244128314</v>
      </c>
      <c r="O42" s="61">
        <f>$L$42-EFEITO!$O$42*EFEITO!$AA$42</f>
        <v>81.60437549731823</v>
      </c>
      <c r="P42" s="45"/>
      <c r="Q42" s="45"/>
      <c r="R42" s="45"/>
      <c r="S42" s="45"/>
      <c r="T42" s="45"/>
      <c r="U42" s="45"/>
      <c r="V42" s="45"/>
      <c r="W42" s="4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1.25" customHeight="1" x14ac:dyDescent="0.2">
      <c r="A43" s="41" t="s">
        <v>21</v>
      </c>
      <c r="B43" s="41" t="s">
        <v>22</v>
      </c>
      <c r="C43" s="41" t="s">
        <v>23</v>
      </c>
      <c r="D43" s="41" t="s">
        <v>24</v>
      </c>
      <c r="E43" s="41" t="s">
        <v>42</v>
      </c>
      <c r="F43" s="41" t="s">
        <v>25</v>
      </c>
      <c r="G43" s="41" t="s">
        <v>25</v>
      </c>
      <c r="H43" s="41" t="s">
        <v>25</v>
      </c>
      <c r="I43" s="60">
        <v>44805</v>
      </c>
      <c r="J43" s="61">
        <f>EFEITO!$J$43*EFEITO!$Y$2</f>
        <v>0</v>
      </c>
      <c r="K43" s="61">
        <f ca="1">EFEITO!$L$43*EFEITO!$Z$56</f>
        <v>348.60913916400733</v>
      </c>
      <c r="L43" s="61">
        <f>EFEITO!$N$43*EFEITO!$AA$56</f>
        <v>190.17968865900431</v>
      </c>
      <c r="M43" s="61">
        <f>$J$43-EFEITO!$K$43*EFEITO!$Y$43</f>
        <v>0</v>
      </c>
      <c r="N43" s="61">
        <f ca="1">$K$43-EFEITO!$M$43*EFEITO!$Z$43</f>
        <v>139.44365566560293</v>
      </c>
      <c r="O43" s="61">
        <f>$L$43-EFEITO!$O$43*EFEITO!$AA$43</f>
        <v>76.071875463601728</v>
      </c>
      <c r="P43" s="45"/>
      <c r="Q43" s="45"/>
      <c r="R43" s="45"/>
      <c r="S43" s="45"/>
      <c r="T43" s="45"/>
      <c r="U43" s="45"/>
      <c r="V43" s="45"/>
      <c r="W43" s="4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1.25" customHeight="1" x14ac:dyDescent="0.2">
      <c r="A44" s="41" t="s">
        <v>21</v>
      </c>
      <c r="B44" s="41" t="s">
        <v>22</v>
      </c>
      <c r="C44" s="41" t="s">
        <v>23</v>
      </c>
      <c r="D44" s="41" t="s">
        <v>24</v>
      </c>
      <c r="E44" s="41" t="s">
        <v>42</v>
      </c>
      <c r="F44" s="41" t="s">
        <v>25</v>
      </c>
      <c r="G44" s="41" t="s">
        <v>25</v>
      </c>
      <c r="H44" s="41" t="s">
        <v>25</v>
      </c>
      <c r="I44" s="60">
        <v>44835</v>
      </c>
      <c r="J44" s="61">
        <f>EFEITO!$J$44*EFEITO!$Y$2</f>
        <v>0</v>
      </c>
      <c r="K44" s="61">
        <f ca="1">EFEITO!$L$44*EFEITO!$Z$56</f>
        <v>325.01639944280686</v>
      </c>
      <c r="L44" s="61">
        <f>EFEITO!$N$44*EFEITO!$AA$56</f>
        <v>177.30894205278886</v>
      </c>
      <c r="M44" s="61">
        <f>$J$44-EFEITO!$K$44*EFEITO!$Y$44</f>
        <v>0</v>
      </c>
      <c r="N44" s="61">
        <f ca="1">$K$44-EFEITO!$M$44*EFEITO!$Z$44</f>
        <v>130.00655977712273</v>
      </c>
      <c r="O44" s="61">
        <f>$L$44-EFEITO!$O$44*EFEITO!$AA$44</f>
        <v>70.923576821115546</v>
      </c>
      <c r="P44" s="45"/>
      <c r="Q44" s="45"/>
      <c r="R44" s="45"/>
      <c r="S44" s="45"/>
      <c r="T44" s="45"/>
      <c r="U44" s="45"/>
      <c r="V44" s="45"/>
      <c r="W44" s="4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1.25" customHeight="1" x14ac:dyDescent="0.2">
      <c r="A45" s="41" t="s">
        <v>21</v>
      </c>
      <c r="B45" s="41" t="s">
        <v>22</v>
      </c>
      <c r="C45" s="41" t="s">
        <v>23</v>
      </c>
      <c r="D45" s="41" t="s">
        <v>24</v>
      </c>
      <c r="E45" s="41" t="s">
        <v>39</v>
      </c>
      <c r="F45" s="41" t="s">
        <v>25</v>
      </c>
      <c r="G45" s="41" t="s">
        <v>25</v>
      </c>
      <c r="H45" s="41" t="s">
        <v>25</v>
      </c>
      <c r="I45" s="60">
        <v>44531</v>
      </c>
      <c r="J45" s="61">
        <f>EFEITO!$J$45*EFEITO!$Y$2</f>
        <v>0</v>
      </c>
      <c r="K45" s="61">
        <f ca="1">EFEITO!$L$45*EFEITO!$Z$56</f>
        <v>194.72813531080413</v>
      </c>
      <c r="L45" s="61">
        <f>EFEITO!$N$45*EFEITO!$AA$56</f>
        <v>106.2316846751812</v>
      </c>
      <c r="M45" s="61">
        <f>$J$45-EFEITO!$K$45*EFEITO!$Y$45</f>
        <v>0</v>
      </c>
      <c r="N45" s="61">
        <f ca="1">$K$45-EFEITO!$M$45*EFEITO!$Z$45</f>
        <v>19.472813531080419</v>
      </c>
      <c r="O45" s="61">
        <f>$L$45-EFEITO!$O$45*EFEITO!$AA$45</f>
        <v>10.623168467518113</v>
      </c>
      <c r="P45" s="45"/>
      <c r="Q45" s="45"/>
      <c r="R45" s="45"/>
      <c r="S45" s="45"/>
      <c r="T45" s="45"/>
      <c r="U45" s="45"/>
      <c r="V45" s="45"/>
      <c r="W45" s="4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1.25" customHeight="1" x14ac:dyDescent="0.2">
      <c r="A46" s="41" t="s">
        <v>21</v>
      </c>
      <c r="B46" s="41" t="s">
        <v>22</v>
      </c>
      <c r="C46" s="41" t="s">
        <v>23</v>
      </c>
      <c r="D46" s="41" t="s">
        <v>24</v>
      </c>
      <c r="E46" s="41" t="s">
        <v>39</v>
      </c>
      <c r="F46" s="41" t="s">
        <v>25</v>
      </c>
      <c r="G46" s="41" t="s">
        <v>25</v>
      </c>
      <c r="H46" s="41" t="s">
        <v>25</v>
      </c>
      <c r="I46" s="60">
        <v>44562</v>
      </c>
      <c r="J46" s="61">
        <f>EFEITO!$J$46*EFEITO!$Y$2</f>
        <v>0</v>
      </c>
      <c r="K46" s="61">
        <f ca="1">EFEITO!$L$46*EFEITO!$Z$56</f>
        <v>174.30456958200367</v>
      </c>
      <c r="L46" s="61">
        <f>EFEITO!$N$46*EFEITO!$AA$56</f>
        <v>95.089844329502156</v>
      </c>
      <c r="M46" s="61">
        <f>$J$46-EFEITO!$K$46*EFEITO!$Y$46</f>
        <v>0</v>
      </c>
      <c r="N46" s="61">
        <f ca="1">$K$46-EFEITO!$M$46*EFEITO!$Z$46</f>
        <v>17.430456958200352</v>
      </c>
      <c r="O46" s="61">
        <f>$L$46-EFEITO!$O$46*EFEITO!$AA$46</f>
        <v>9.5089844329502142</v>
      </c>
      <c r="P46" s="45"/>
      <c r="Q46" s="45"/>
      <c r="R46" s="45"/>
      <c r="S46" s="45"/>
      <c r="T46" s="45"/>
      <c r="U46" s="45"/>
      <c r="V46" s="45"/>
      <c r="W46" s="4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1.25" customHeight="1" x14ac:dyDescent="0.2">
      <c r="A47" s="41" t="s">
        <v>21</v>
      </c>
      <c r="B47" s="41" t="s">
        <v>22</v>
      </c>
      <c r="C47" s="41" t="s">
        <v>23</v>
      </c>
      <c r="D47" s="41" t="s">
        <v>24</v>
      </c>
      <c r="E47" s="41" t="s">
        <v>39</v>
      </c>
      <c r="F47" s="41" t="s">
        <v>25</v>
      </c>
      <c r="G47" s="41" t="s">
        <v>25</v>
      </c>
      <c r="H47" s="41" t="s">
        <v>25</v>
      </c>
      <c r="I47" s="60">
        <v>44593</v>
      </c>
      <c r="J47" s="61">
        <f>EFEITO!$J$47*EFEITO!$Y$2</f>
        <v>0</v>
      </c>
      <c r="K47" s="61">
        <f ca="1">EFEITO!$L$47*EFEITO!$Z$56</f>
        <v>172.89604780760365</v>
      </c>
      <c r="L47" s="61">
        <f>EFEITO!$N$47*EFEITO!$AA$56</f>
        <v>94.32144154704153</v>
      </c>
      <c r="M47" s="61">
        <f>$J$47-EFEITO!$K$47*EFEITO!$Y$47</f>
        <v>0</v>
      </c>
      <c r="N47" s="61">
        <f ca="1">$K$47-EFEITO!$M$47*EFEITO!$Z$47</f>
        <v>17.289604780760357</v>
      </c>
      <c r="O47" s="61">
        <f>$L$47-EFEITO!$O$47*EFEITO!$AA$47</f>
        <v>9.4321441547041474</v>
      </c>
      <c r="P47" s="45"/>
      <c r="Q47" s="45"/>
      <c r="R47" s="45"/>
      <c r="S47" s="45"/>
      <c r="T47" s="45"/>
      <c r="U47" s="45"/>
      <c r="V47" s="45"/>
      <c r="W47" s="4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1.25" customHeight="1" x14ac:dyDescent="0.2">
      <c r="A48" s="41" t="s">
        <v>21</v>
      </c>
      <c r="B48" s="41" t="s">
        <v>22</v>
      </c>
      <c r="C48" s="41" t="s">
        <v>23</v>
      </c>
      <c r="D48" s="41" t="s">
        <v>24</v>
      </c>
      <c r="E48" s="41" t="s">
        <v>39</v>
      </c>
      <c r="F48" s="41" t="s">
        <v>25</v>
      </c>
      <c r="G48" s="41" t="s">
        <v>25</v>
      </c>
      <c r="H48" s="41" t="s">
        <v>25</v>
      </c>
      <c r="I48" s="60">
        <v>44621</v>
      </c>
      <c r="J48" s="61">
        <f>EFEITO!$J$48*EFEITO!$Y$2</f>
        <v>0</v>
      </c>
      <c r="K48" s="61">
        <f ca="1">EFEITO!$L$48*EFEITO!$Z$56</f>
        <v>1125.4088977456238</v>
      </c>
      <c r="L48" s="61">
        <f>EFEITO!$N$48*EFEITO!$AA$56</f>
        <v>613.95382318603822</v>
      </c>
      <c r="M48" s="61">
        <f>$J$48-EFEITO!$K$48*EFEITO!$Y$48</f>
        <v>0</v>
      </c>
      <c r="N48" s="61">
        <f ca="1">$K$48-EFEITO!$M$48*EFEITO!$Z$48</f>
        <v>112.54088977456229</v>
      </c>
      <c r="O48" s="61">
        <f>$L$48-EFEITO!$O$48*EFEITO!$AA$48</f>
        <v>61.395382318603879</v>
      </c>
      <c r="P48" s="45"/>
      <c r="Q48" s="45"/>
      <c r="R48" s="45"/>
      <c r="S48" s="45"/>
      <c r="T48" s="45"/>
      <c r="U48" s="45"/>
      <c r="V48" s="45"/>
      <c r="W48" s="4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1.25" customHeight="1" x14ac:dyDescent="0.2">
      <c r="A49" s="41" t="s">
        <v>21</v>
      </c>
      <c r="B49" s="41" t="s">
        <v>22</v>
      </c>
      <c r="C49" s="41" t="s">
        <v>23</v>
      </c>
      <c r="D49" s="41" t="s">
        <v>24</v>
      </c>
      <c r="E49" s="41" t="s">
        <v>39</v>
      </c>
      <c r="F49" s="41" t="s">
        <v>25</v>
      </c>
      <c r="G49" s="41" t="s">
        <v>25</v>
      </c>
      <c r="H49" s="41" t="s">
        <v>25</v>
      </c>
      <c r="I49" s="60">
        <v>44652</v>
      </c>
      <c r="J49" s="61">
        <f>EFEITO!$J$49*EFEITO!$Y$2</f>
        <v>0</v>
      </c>
      <c r="K49" s="61">
        <f ca="1">EFEITO!$L$49*EFEITO!$Z$56</f>
        <v>3542.7843930596746</v>
      </c>
      <c r="L49" s="61">
        <f>EFEITO!$N$49*EFEITO!$AA$56</f>
        <v>1932.7250985840833</v>
      </c>
      <c r="M49" s="61">
        <f>$J$49-EFEITO!$K$49*EFEITO!$Y$49</f>
        <v>0</v>
      </c>
      <c r="N49" s="61">
        <f ca="1">$K$49-EFEITO!$M$49*EFEITO!$Z$49</f>
        <v>354.27843930596691</v>
      </c>
      <c r="O49" s="61">
        <f>$L$49-EFEITO!$O$49*EFEITO!$AA$49</f>
        <v>193.27250985840828</v>
      </c>
      <c r="P49" s="45"/>
      <c r="Q49" s="45"/>
      <c r="R49" s="45"/>
      <c r="S49" s="45"/>
      <c r="T49" s="45"/>
      <c r="U49" s="45"/>
      <c r="V49" s="45"/>
      <c r="W49" s="4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1.25" customHeight="1" x14ac:dyDescent="0.2">
      <c r="A50" s="41" t="s">
        <v>21</v>
      </c>
      <c r="B50" s="41" t="s">
        <v>22</v>
      </c>
      <c r="C50" s="41" t="s">
        <v>23</v>
      </c>
      <c r="D50" s="41" t="s">
        <v>24</v>
      </c>
      <c r="E50" s="41" t="s">
        <v>39</v>
      </c>
      <c r="F50" s="41" t="s">
        <v>25</v>
      </c>
      <c r="G50" s="41" t="s">
        <v>25</v>
      </c>
      <c r="H50" s="41" t="s">
        <v>25</v>
      </c>
      <c r="I50" s="60">
        <v>44682</v>
      </c>
      <c r="J50" s="61">
        <f>EFEITO!$J$50*EFEITO!$Y$2</f>
        <v>0</v>
      </c>
      <c r="K50" s="61">
        <f ca="1">EFEITO!$L$50*EFEITO!$Z$56</f>
        <v>4118.5176683456866</v>
      </c>
      <c r="L50" s="61">
        <f>EFEITO!$N$50*EFEITO!$AA$56</f>
        <v>2246.8097359148628</v>
      </c>
      <c r="M50" s="61">
        <f>$J$50-EFEITO!$K$50*EFEITO!$Y$50</f>
        <v>0</v>
      </c>
      <c r="N50" s="61">
        <f ca="1">$K$50-EFEITO!$M$50*EFEITO!$Z$50</f>
        <v>411.85176683456802</v>
      </c>
      <c r="O50" s="61">
        <f>$L$50-EFEITO!$O$50*EFEITO!$AA$50</f>
        <v>224.68097359148601</v>
      </c>
      <c r="P50" s="45"/>
      <c r="Q50" s="45"/>
      <c r="R50" s="45"/>
      <c r="S50" s="45"/>
      <c r="T50" s="45"/>
      <c r="U50" s="45"/>
      <c r="V50" s="45"/>
      <c r="W50" s="4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1.25" customHeight="1" x14ac:dyDescent="0.2">
      <c r="A51" s="41" t="s">
        <v>21</v>
      </c>
      <c r="B51" s="41" t="s">
        <v>22</v>
      </c>
      <c r="C51" s="41" t="s">
        <v>23</v>
      </c>
      <c r="D51" s="41" t="s">
        <v>24</v>
      </c>
      <c r="E51" s="41" t="s">
        <v>39</v>
      </c>
      <c r="F51" s="41" t="s">
        <v>25</v>
      </c>
      <c r="G51" s="41" t="s">
        <v>25</v>
      </c>
      <c r="H51" s="41" t="s">
        <v>25</v>
      </c>
      <c r="I51" s="60">
        <v>44713</v>
      </c>
      <c r="J51" s="61">
        <f>EFEITO!$J$51*EFEITO!$Y$2</f>
        <v>0</v>
      </c>
      <c r="K51" s="61">
        <f ca="1">EFEITO!$L$51*EFEITO!$Z$56</f>
        <v>3574.1240025400757</v>
      </c>
      <c r="L51" s="61">
        <f>EFEITO!$N$51*EFEITO!$AA$56</f>
        <v>1949.8220604938322</v>
      </c>
      <c r="M51" s="61">
        <f>$J$51-EFEITO!$K$51*EFEITO!$Y$51</f>
        <v>0</v>
      </c>
      <c r="N51" s="61">
        <f ca="1">$K$51-EFEITO!$M$51*EFEITO!$Z$51</f>
        <v>357.41240025400748</v>
      </c>
      <c r="O51" s="61">
        <f>$L$51-EFEITO!$O$51*EFEITO!$AA$51</f>
        <v>194.98220604938319</v>
      </c>
      <c r="P51" s="45"/>
      <c r="Q51" s="45"/>
      <c r="R51" s="45"/>
      <c r="S51" s="45"/>
      <c r="T51" s="45"/>
      <c r="U51" s="45"/>
      <c r="V51" s="45"/>
      <c r="W51" s="4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1.25" customHeight="1" x14ac:dyDescent="0.2">
      <c r="A52" s="41" t="s">
        <v>21</v>
      </c>
      <c r="B52" s="41" t="s">
        <v>22</v>
      </c>
      <c r="C52" s="41" t="s">
        <v>23</v>
      </c>
      <c r="D52" s="41" t="s">
        <v>24</v>
      </c>
      <c r="E52" s="41" t="s">
        <v>39</v>
      </c>
      <c r="F52" s="41" t="s">
        <v>25</v>
      </c>
      <c r="G52" s="41" t="s">
        <v>25</v>
      </c>
      <c r="H52" s="41" t="s">
        <v>25</v>
      </c>
      <c r="I52" s="60">
        <v>44743</v>
      </c>
      <c r="J52" s="61">
        <f>EFEITO!$J$52*EFEITO!$Y$2</f>
        <v>0</v>
      </c>
      <c r="K52" s="61">
        <f ca="1">EFEITO!$L$52*EFEITO!$Z$56</f>
        <v>3541.7280017288745</v>
      </c>
      <c r="L52" s="61">
        <f>EFEITO!$N$52*EFEITO!$AA$56</f>
        <v>1932.1487964972378</v>
      </c>
      <c r="M52" s="61">
        <f>$J$52-EFEITO!$K$52*EFEITO!$Y$52</f>
        <v>0</v>
      </c>
      <c r="N52" s="61">
        <f ca="1">$K$52-EFEITO!$M$52*EFEITO!$Z$52</f>
        <v>354.17280017288704</v>
      </c>
      <c r="O52" s="61">
        <f>$L$52-EFEITO!$O$52*EFEITO!$AA$52</f>
        <v>193.2148796497238</v>
      </c>
      <c r="P52" s="45"/>
      <c r="Q52" s="45"/>
      <c r="R52" s="45"/>
      <c r="S52" s="45"/>
      <c r="T52" s="45"/>
      <c r="U52" s="45"/>
      <c r="V52" s="45"/>
      <c r="W52" s="4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1.25" customHeight="1" x14ac:dyDescent="0.2">
      <c r="A53" s="41" t="s">
        <v>21</v>
      </c>
      <c r="B53" s="41" t="s">
        <v>22</v>
      </c>
      <c r="C53" s="41" t="s">
        <v>23</v>
      </c>
      <c r="D53" s="41" t="s">
        <v>24</v>
      </c>
      <c r="E53" s="41" t="s">
        <v>39</v>
      </c>
      <c r="F53" s="41" t="s">
        <v>25</v>
      </c>
      <c r="G53" s="41" t="s">
        <v>25</v>
      </c>
      <c r="H53" s="41" t="s">
        <v>25</v>
      </c>
      <c r="I53" s="60">
        <v>44774</v>
      </c>
      <c r="J53" s="61">
        <f>EFEITO!$J$53*EFEITO!$Y$2</f>
        <v>0</v>
      </c>
      <c r="K53" s="61">
        <f ca="1">EFEITO!$L$53*EFEITO!$Z$56</f>
        <v>3461.4422605880732</v>
      </c>
      <c r="L53" s="61">
        <f>EFEITO!$N$53*EFEITO!$AA$56</f>
        <v>1888.3498378969823</v>
      </c>
      <c r="M53" s="61">
        <f>$J$53-EFEITO!$K$53*EFEITO!$Y$53</f>
        <v>0</v>
      </c>
      <c r="N53" s="61">
        <f ca="1">$K$53-EFEITO!$M$53*EFEITO!$Z$53</f>
        <v>346.14422605880691</v>
      </c>
      <c r="O53" s="61">
        <f>$L$53-EFEITO!$O$53*EFEITO!$AA$53</f>
        <v>188.8349837896983</v>
      </c>
      <c r="P53" s="45"/>
      <c r="Q53" s="45"/>
      <c r="R53" s="45"/>
      <c r="S53" s="45"/>
      <c r="T53" s="45"/>
      <c r="U53" s="45"/>
      <c r="V53" s="45"/>
      <c r="W53" s="4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1.25" customHeight="1" x14ac:dyDescent="0.2">
      <c r="A54" s="41" t="s">
        <v>21</v>
      </c>
      <c r="B54" s="41" t="s">
        <v>22</v>
      </c>
      <c r="C54" s="41" t="s">
        <v>23</v>
      </c>
      <c r="D54" s="41" t="s">
        <v>24</v>
      </c>
      <c r="E54" s="41" t="s">
        <v>39</v>
      </c>
      <c r="F54" s="41" t="s">
        <v>25</v>
      </c>
      <c r="G54" s="41" t="s">
        <v>25</v>
      </c>
      <c r="H54" s="41" t="s">
        <v>25</v>
      </c>
      <c r="I54" s="60">
        <v>44805</v>
      </c>
      <c r="J54" s="61">
        <f>EFEITO!$J$54*EFEITO!$Y$2</f>
        <v>0</v>
      </c>
      <c r="K54" s="61">
        <f ca="1">EFEITO!$L$54*EFEITO!$Z$56</f>
        <v>3948.7907945304833</v>
      </c>
      <c r="L54" s="61">
        <f>EFEITO!$N$54*EFEITO!$AA$56</f>
        <v>2154.2172006283581</v>
      </c>
      <c r="M54" s="61">
        <f>$J$54-EFEITO!$K$54*EFEITO!$Y$54</f>
        <v>0</v>
      </c>
      <c r="N54" s="61">
        <f ca="1">$K$54-EFEITO!$M$54*EFEITO!$Z$54</f>
        <v>394.87907945304778</v>
      </c>
      <c r="O54" s="61">
        <f>$L$54-EFEITO!$O$54*EFEITO!$AA$54</f>
        <v>215.4217200628359</v>
      </c>
      <c r="P54" s="45"/>
      <c r="Q54" s="45"/>
      <c r="R54" s="45"/>
      <c r="S54" s="45"/>
      <c r="T54" s="45"/>
      <c r="U54" s="45"/>
      <c r="V54" s="45"/>
      <c r="W54" s="4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1.25" customHeight="1" x14ac:dyDescent="0.2">
      <c r="A55" s="41" t="s">
        <v>21</v>
      </c>
      <c r="B55" s="41" t="s">
        <v>22</v>
      </c>
      <c r="C55" s="41" t="s">
        <v>23</v>
      </c>
      <c r="D55" s="41" t="s">
        <v>24</v>
      </c>
      <c r="E55" s="41" t="s">
        <v>39</v>
      </c>
      <c r="F55" s="41" t="s">
        <v>25</v>
      </c>
      <c r="G55" s="41" t="s">
        <v>25</v>
      </c>
      <c r="H55" s="41" t="s">
        <v>25</v>
      </c>
      <c r="I55" s="60">
        <v>44835</v>
      </c>
      <c r="J55" s="61">
        <f>EFEITO!$J$55*EFEITO!$Y$2</f>
        <v>0</v>
      </c>
      <c r="K55" s="61">
        <f ca="1">EFEITO!$L$55*EFEITO!$Z$56</f>
        <v>3360.732953718471</v>
      </c>
      <c r="L55" s="61">
        <f>EFEITO!$N$55*EFEITO!$AA$56</f>
        <v>1833.4090389510477</v>
      </c>
      <c r="M55" s="61">
        <f>$J$55-EFEITO!$K$55*EFEITO!$Y$55</f>
        <v>0</v>
      </c>
      <c r="N55" s="61">
        <f ca="1">$K$55-EFEITO!$M$55*EFEITO!$Z$55</f>
        <v>336.0732953718466</v>
      </c>
      <c r="O55" s="61">
        <f>$L$55-EFEITO!$O$55*EFEITO!$AA$55</f>
        <v>183.3409038951047</v>
      </c>
      <c r="P55" s="45"/>
      <c r="Q55" s="45"/>
      <c r="R55" s="45"/>
      <c r="S55" s="45"/>
      <c r="T55" s="45"/>
      <c r="U55" s="45"/>
      <c r="V55" s="45"/>
      <c r="W55" s="4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1.25" customHeight="1" x14ac:dyDescent="0.2">
      <c r="A56" s="41" t="s">
        <v>21</v>
      </c>
      <c r="B56" s="41" t="s">
        <v>22</v>
      </c>
      <c r="C56" s="41" t="s">
        <v>23</v>
      </c>
      <c r="D56" s="41" t="s">
        <v>24</v>
      </c>
      <c r="E56" s="41" t="s">
        <v>40</v>
      </c>
      <c r="F56" s="41" t="s">
        <v>25</v>
      </c>
      <c r="G56" s="41" t="s">
        <v>25</v>
      </c>
      <c r="H56" s="41" t="s">
        <v>25</v>
      </c>
      <c r="I56" s="60">
        <v>44531</v>
      </c>
      <c r="J56" s="61">
        <f>EFEITO!$J$56*EFEITO!$Y$2</f>
        <v>0</v>
      </c>
      <c r="K56" s="61">
        <f ca="1">EFEITO!$L$56*EFEITO!$Z$56</f>
        <v>493.33475148361043</v>
      </c>
      <c r="L56" s="61">
        <f>EFEITO!$N$56*EFEITO!$AA$56</f>
        <v>269.13307455683338</v>
      </c>
      <c r="M56" s="61">
        <f>$J$56-EFEITO!$K$56*EFEITO!$Y$56</f>
        <v>0</v>
      </c>
      <c r="N56" s="61">
        <f ca="1">$K$56-EFEITO!$M$56*EFEITO!$Z$56</f>
        <v>0</v>
      </c>
      <c r="O56" s="61">
        <f>$L$56-EFEITO!$O$56*EFEITO!$AA$56</f>
        <v>0</v>
      </c>
      <c r="P56" s="45"/>
      <c r="Q56" s="45"/>
      <c r="R56" s="45"/>
      <c r="S56" s="45"/>
      <c r="T56" s="45"/>
      <c r="U56" s="45"/>
      <c r="V56" s="45"/>
      <c r="W56" s="4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1.25" customHeight="1" x14ac:dyDescent="0.2">
      <c r="A57" s="41" t="s">
        <v>21</v>
      </c>
      <c r="B57" s="41" t="s">
        <v>22</v>
      </c>
      <c r="C57" s="41" t="s">
        <v>23</v>
      </c>
      <c r="D57" s="41" t="s">
        <v>24</v>
      </c>
      <c r="E57" s="41" t="s">
        <v>40</v>
      </c>
      <c r="F57" s="41" t="s">
        <v>25</v>
      </c>
      <c r="G57" s="41" t="s">
        <v>25</v>
      </c>
      <c r="H57" s="41" t="s">
        <v>25</v>
      </c>
      <c r="I57" s="60">
        <v>44562</v>
      </c>
      <c r="J57" s="61">
        <f>EFEITO!$J$57*EFEITO!$Y$2</f>
        <v>0</v>
      </c>
      <c r="K57" s="61">
        <f ca="1">EFEITO!$L$57*EFEITO!$Z$56</f>
        <v>396.14674905000834</v>
      </c>
      <c r="L57" s="61">
        <f>EFEITO!$N$57*EFEITO!$AA$56</f>
        <v>216.11328256705036</v>
      </c>
      <c r="M57" s="61">
        <f>$J$57-EFEITO!$K$57*EFEITO!$Y$57</f>
        <v>0</v>
      </c>
      <c r="N57" s="61">
        <f ca="1">$K$57-EFEITO!$M$57*EFEITO!$Z$57</f>
        <v>0</v>
      </c>
      <c r="O57" s="61">
        <f>$L$57-EFEITO!$O$57*EFEITO!$AA$57</f>
        <v>0</v>
      </c>
      <c r="P57" s="45"/>
      <c r="Q57" s="45"/>
      <c r="R57" s="45"/>
      <c r="S57" s="45"/>
      <c r="T57" s="45"/>
      <c r="U57" s="45"/>
      <c r="V57" s="45"/>
      <c r="W57" s="4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1.25" customHeight="1" x14ac:dyDescent="0.2">
      <c r="A58" s="41" t="s">
        <v>21</v>
      </c>
      <c r="B58" s="41" t="s">
        <v>22</v>
      </c>
      <c r="C58" s="41" t="s">
        <v>23</v>
      </c>
      <c r="D58" s="41" t="s">
        <v>24</v>
      </c>
      <c r="E58" s="41" t="s">
        <v>40</v>
      </c>
      <c r="F58" s="41" t="s">
        <v>25</v>
      </c>
      <c r="G58" s="41" t="s">
        <v>25</v>
      </c>
      <c r="H58" s="41" t="s">
        <v>25</v>
      </c>
      <c r="I58" s="60">
        <v>44593</v>
      </c>
      <c r="J58" s="61">
        <f>EFEITO!$J$58*EFEITO!$Y$2</f>
        <v>0</v>
      </c>
      <c r="K58" s="61">
        <f ca="1">EFEITO!$L$58*EFEITO!$Z$56</f>
        <v>391.92118372680824</v>
      </c>
      <c r="L58" s="61">
        <f>EFEITO!$N$58*EFEITO!$AA$56</f>
        <v>213.80807421966847</v>
      </c>
      <c r="M58" s="61">
        <f>$J$58-EFEITO!$K$58*EFEITO!$Y$58</f>
        <v>0</v>
      </c>
      <c r="N58" s="61">
        <f ca="1">$K$58-EFEITO!$M$58*EFEITO!$Z$58</f>
        <v>0</v>
      </c>
      <c r="O58" s="61">
        <f>$L$58-EFEITO!$O$58*EFEITO!$AA$58</f>
        <v>0</v>
      </c>
      <c r="P58" s="45"/>
      <c r="Q58" s="45"/>
      <c r="R58" s="45"/>
      <c r="S58" s="45"/>
      <c r="T58" s="45"/>
      <c r="U58" s="45"/>
      <c r="V58" s="45"/>
      <c r="W58" s="4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1.25" customHeight="1" x14ac:dyDescent="0.2">
      <c r="A59" s="41" t="s">
        <v>21</v>
      </c>
      <c r="B59" s="41" t="s">
        <v>22</v>
      </c>
      <c r="C59" s="41" t="s">
        <v>23</v>
      </c>
      <c r="D59" s="41" t="s">
        <v>24</v>
      </c>
      <c r="E59" s="41" t="s">
        <v>40</v>
      </c>
      <c r="F59" s="41" t="s">
        <v>25</v>
      </c>
      <c r="G59" s="41" t="s">
        <v>25</v>
      </c>
      <c r="H59" s="41" t="s">
        <v>25</v>
      </c>
      <c r="I59" s="60">
        <v>44621</v>
      </c>
      <c r="J59" s="61">
        <f>EFEITO!$J$59*EFEITO!$Y$2</f>
        <v>0</v>
      </c>
      <c r="K59" s="61">
        <f ca="1">EFEITO!$L$59*EFEITO!$Z$56</f>
        <v>1741.2850436020369</v>
      </c>
      <c r="L59" s="61">
        <f>EFEITO!$N$59*EFEITO!$AA$56</f>
        <v>949.9379398169458</v>
      </c>
      <c r="M59" s="61">
        <f>$J$59-EFEITO!$K$59*EFEITO!$Y$59</f>
        <v>0</v>
      </c>
      <c r="N59" s="61">
        <f ca="1">$K$59-EFEITO!$M$59*EFEITO!$Z$59</f>
        <v>0</v>
      </c>
      <c r="O59" s="61">
        <f>$L$59-EFEITO!$O$59*EFEITO!$AA$59</f>
        <v>0</v>
      </c>
      <c r="P59" s="45"/>
      <c r="Q59" s="45"/>
      <c r="R59" s="45"/>
      <c r="S59" s="45"/>
      <c r="T59" s="45"/>
      <c r="U59" s="45"/>
      <c r="V59" s="45"/>
      <c r="W59" s="4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1.25" customHeight="1" x14ac:dyDescent="0.2">
      <c r="A60" s="41" t="s">
        <v>21</v>
      </c>
      <c r="B60" s="41" t="s">
        <v>22</v>
      </c>
      <c r="C60" s="41" t="s">
        <v>23</v>
      </c>
      <c r="D60" s="41" t="s">
        <v>24</v>
      </c>
      <c r="E60" s="41" t="s">
        <v>40</v>
      </c>
      <c r="F60" s="41" t="s">
        <v>25</v>
      </c>
      <c r="G60" s="41" t="s">
        <v>25</v>
      </c>
      <c r="H60" s="41" t="s">
        <v>25</v>
      </c>
      <c r="I60" s="60">
        <v>44652</v>
      </c>
      <c r="J60" s="61">
        <f>EFEITO!$J$60*EFEITO!$Y$2</f>
        <v>0</v>
      </c>
      <c r="K60" s="61">
        <f ca="1">EFEITO!$L$60*EFEITO!$Z$56</f>
        <v>2590.6236735652546</v>
      </c>
      <c r="L60" s="61">
        <f>EFEITO!$N$60*EFEITO!$AA$56</f>
        <v>1413.2848176407017</v>
      </c>
      <c r="M60" s="61">
        <f>$J$60-EFEITO!$K$60*EFEITO!$Y$60</f>
        <v>0</v>
      </c>
      <c r="N60" s="61">
        <f ca="1">$K$60-EFEITO!$M$60*EFEITO!$Z$60</f>
        <v>0</v>
      </c>
      <c r="O60" s="61">
        <f>$L$60-EFEITO!$O$60*EFEITO!$AA$60</f>
        <v>0</v>
      </c>
      <c r="P60" s="45"/>
      <c r="Q60" s="45"/>
      <c r="R60" s="45"/>
      <c r="S60" s="45"/>
      <c r="T60" s="45"/>
      <c r="U60" s="45"/>
      <c r="V60" s="45"/>
      <c r="W60" s="4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1.25" customHeight="1" x14ac:dyDescent="0.2">
      <c r="A61" s="41" t="s">
        <v>21</v>
      </c>
      <c r="B61" s="41" t="s">
        <v>22</v>
      </c>
      <c r="C61" s="41" t="s">
        <v>23</v>
      </c>
      <c r="D61" s="41" t="s">
        <v>24</v>
      </c>
      <c r="E61" s="41" t="s">
        <v>40</v>
      </c>
      <c r="F61" s="41" t="s">
        <v>25</v>
      </c>
      <c r="G61" s="41" t="s">
        <v>25</v>
      </c>
      <c r="H61" s="41" t="s">
        <v>25</v>
      </c>
      <c r="I61" s="60">
        <v>44682</v>
      </c>
      <c r="J61" s="61">
        <f>EFEITO!$J$61*EFEITO!$Y$2</f>
        <v>0</v>
      </c>
      <c r="K61" s="61">
        <f ca="1">EFEITO!$L$61*EFEITO!$Z$56</f>
        <v>2303.6373620312484</v>
      </c>
      <c r="L61" s="61">
        <f>EFEITO!$N$61*EFEITO!$AA$56</f>
        <v>1256.7227507143498</v>
      </c>
      <c r="M61" s="61">
        <f>$J$61-EFEITO!$K$61*EFEITO!$Y$61</f>
        <v>0</v>
      </c>
      <c r="N61" s="61">
        <f ca="1">$K$61-EFEITO!$M$61*EFEITO!$Z$61</f>
        <v>0</v>
      </c>
      <c r="O61" s="61">
        <f>$L$61-EFEITO!$O$61*EFEITO!$AA$61</f>
        <v>0</v>
      </c>
      <c r="P61" s="45"/>
      <c r="Q61" s="45"/>
      <c r="R61" s="45"/>
      <c r="S61" s="45"/>
      <c r="T61" s="45"/>
      <c r="U61" s="45"/>
      <c r="V61" s="45"/>
      <c r="W61" s="4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1.25" customHeight="1" x14ac:dyDescent="0.2">
      <c r="A62" s="41" t="s">
        <v>21</v>
      </c>
      <c r="B62" s="41" t="s">
        <v>22</v>
      </c>
      <c r="C62" s="41" t="s">
        <v>23</v>
      </c>
      <c r="D62" s="41" t="s">
        <v>24</v>
      </c>
      <c r="E62" s="41" t="s">
        <v>40</v>
      </c>
      <c r="F62" s="41" t="s">
        <v>25</v>
      </c>
      <c r="G62" s="41" t="s">
        <v>25</v>
      </c>
      <c r="H62" s="41" t="s">
        <v>25</v>
      </c>
      <c r="I62" s="60">
        <v>44713</v>
      </c>
      <c r="J62" s="61">
        <f>EFEITO!$J$62*EFEITO!$Y$2</f>
        <v>0</v>
      </c>
      <c r="K62" s="61">
        <f ca="1">EFEITO!$L$62*EFEITO!$Z$56</f>
        <v>3661.4523525528771</v>
      </c>
      <c r="L62" s="61">
        <f>EFEITO!$N$62*EFEITO!$AA$56</f>
        <v>1997.4630330063908</v>
      </c>
      <c r="M62" s="61">
        <f>$J$62-EFEITO!$K$62*EFEITO!$Y$62</f>
        <v>0</v>
      </c>
      <c r="N62" s="61">
        <f ca="1">$K$62-EFEITO!$M$62*EFEITO!$Z$62</f>
        <v>0</v>
      </c>
      <c r="O62" s="61">
        <f>$L$62-EFEITO!$O$62*EFEITO!$AA$62</f>
        <v>0</v>
      </c>
      <c r="P62" s="45"/>
      <c r="Q62" s="45"/>
      <c r="R62" s="45"/>
      <c r="S62" s="45"/>
      <c r="T62" s="45"/>
      <c r="U62" s="45"/>
      <c r="V62" s="45"/>
      <c r="W62" s="4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1.25" customHeight="1" x14ac:dyDescent="0.2">
      <c r="A63" s="41" t="s">
        <v>21</v>
      </c>
      <c r="B63" s="41" t="s">
        <v>22</v>
      </c>
      <c r="C63" s="41" t="s">
        <v>23</v>
      </c>
      <c r="D63" s="41" t="s">
        <v>24</v>
      </c>
      <c r="E63" s="41" t="s">
        <v>40</v>
      </c>
      <c r="F63" s="41" t="s">
        <v>25</v>
      </c>
      <c r="G63" s="41" t="s">
        <v>25</v>
      </c>
      <c r="H63" s="41" t="s">
        <v>25</v>
      </c>
      <c r="I63" s="60">
        <v>44743</v>
      </c>
      <c r="J63" s="61">
        <f>EFEITO!$J$63*EFEITO!$Y$2</f>
        <v>0</v>
      </c>
      <c r="K63" s="61">
        <f ca="1">EFEITO!$L$63*EFEITO!$Z$56</f>
        <v>4251.9751064700895</v>
      </c>
      <c r="L63" s="61">
        <f>EFEITO!$N$63*EFEITO!$AA$56</f>
        <v>2319.6158995530068</v>
      </c>
      <c r="M63" s="61">
        <f>$J$63-EFEITO!$K$63*EFEITO!$Y$63</f>
        <v>0</v>
      </c>
      <c r="N63" s="61">
        <f ca="1">$K$63-EFEITO!$M$63*EFEITO!$Z$63</f>
        <v>0</v>
      </c>
      <c r="O63" s="61">
        <f>$L$63-EFEITO!$O$63*EFEITO!$AA$63</f>
        <v>0</v>
      </c>
      <c r="P63" s="45"/>
      <c r="Q63" s="45"/>
      <c r="R63" s="45"/>
      <c r="S63" s="45"/>
      <c r="T63" s="45"/>
      <c r="U63" s="45"/>
      <c r="V63" s="45"/>
      <c r="W63" s="4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1.25" customHeight="1" x14ac:dyDescent="0.2">
      <c r="A64" s="41" t="s">
        <v>21</v>
      </c>
      <c r="B64" s="41" t="s">
        <v>22</v>
      </c>
      <c r="C64" s="41" t="s">
        <v>23</v>
      </c>
      <c r="D64" s="41" t="s">
        <v>24</v>
      </c>
      <c r="E64" s="41" t="s">
        <v>40</v>
      </c>
      <c r="F64" s="41" t="s">
        <v>25</v>
      </c>
      <c r="G64" s="41" t="s">
        <v>25</v>
      </c>
      <c r="H64" s="41" t="s">
        <v>25</v>
      </c>
      <c r="I64" s="60">
        <v>44774</v>
      </c>
      <c r="J64" s="61">
        <f>EFEITO!$J$64*EFEITO!$Y$2</f>
        <v>0</v>
      </c>
      <c r="K64" s="61">
        <f ca="1">EFEITO!$L$64*EFEITO!$Z$56</f>
        <v>4318.1756298668906</v>
      </c>
      <c r="L64" s="61">
        <f>EFEITO!$N$64*EFEITO!$AA$56</f>
        <v>2355.7308303286563</v>
      </c>
      <c r="M64" s="61">
        <f>$J$64-EFEITO!$K$64*EFEITO!$Y$64</f>
        <v>0</v>
      </c>
      <c r="N64" s="61">
        <f ca="1">$K$64-EFEITO!$M$64*EFEITO!$Z$64</f>
        <v>0</v>
      </c>
      <c r="O64" s="61">
        <f>$L$64-EFEITO!$O$64*EFEITO!$AA$64</f>
        <v>0</v>
      </c>
      <c r="P64" s="45"/>
      <c r="Q64" s="45"/>
      <c r="R64" s="45"/>
      <c r="S64" s="45"/>
      <c r="T64" s="45"/>
      <c r="U64" s="45"/>
      <c r="V64" s="45"/>
      <c r="W64" s="4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1.25" customHeight="1" x14ac:dyDescent="0.2">
      <c r="A65" s="41" t="s">
        <v>21</v>
      </c>
      <c r="B65" s="41" t="s">
        <v>22</v>
      </c>
      <c r="C65" s="41" t="s">
        <v>23</v>
      </c>
      <c r="D65" s="41" t="s">
        <v>24</v>
      </c>
      <c r="E65" s="41" t="s">
        <v>40</v>
      </c>
      <c r="F65" s="41" t="s">
        <v>25</v>
      </c>
      <c r="G65" s="41" t="s">
        <v>25</v>
      </c>
      <c r="H65" s="41" t="s">
        <v>25</v>
      </c>
      <c r="I65" s="60">
        <v>44805</v>
      </c>
      <c r="J65" s="61">
        <f>EFEITO!$J$65*EFEITO!$Y$2</f>
        <v>0</v>
      </c>
      <c r="K65" s="61">
        <f ca="1">EFEITO!$L$65*EFEITO!$Z$56</f>
        <v>3825.1930088268805</v>
      </c>
      <c r="L65" s="61">
        <f>EFEITO!$N$65*EFEITO!$AA$56</f>
        <v>2086.7898564674383</v>
      </c>
      <c r="M65" s="61">
        <f>$J$65-EFEITO!$K$65*EFEITO!$Y$65</f>
        <v>0</v>
      </c>
      <c r="N65" s="61">
        <f ca="1">$K$65-EFEITO!$M$65*EFEITO!$Z$65</f>
        <v>0</v>
      </c>
      <c r="O65" s="61">
        <f>$L$65-EFEITO!$O$65*EFEITO!$AA$65</f>
        <v>0</v>
      </c>
      <c r="P65" s="45"/>
      <c r="Q65" s="45"/>
      <c r="R65" s="45"/>
      <c r="S65" s="45"/>
      <c r="T65" s="45"/>
      <c r="U65" s="45"/>
      <c r="V65" s="45"/>
      <c r="W65" s="4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1.25" customHeight="1" x14ac:dyDescent="0.2">
      <c r="A66" s="41" t="s">
        <v>21</v>
      </c>
      <c r="B66" s="41" t="s">
        <v>22</v>
      </c>
      <c r="C66" s="41" t="s">
        <v>23</v>
      </c>
      <c r="D66" s="41" t="s">
        <v>24</v>
      </c>
      <c r="E66" s="41" t="s">
        <v>40</v>
      </c>
      <c r="F66" s="41" t="s">
        <v>25</v>
      </c>
      <c r="G66" s="41" t="s">
        <v>25</v>
      </c>
      <c r="H66" s="41" t="s">
        <v>25</v>
      </c>
      <c r="I66" s="60">
        <v>44835</v>
      </c>
      <c r="J66" s="61">
        <f>EFEITO!$J$66*EFEITO!$Y$2</f>
        <v>0</v>
      </c>
      <c r="K66" s="61">
        <f ca="1">EFEITO!$L$66*EFEITO!$Z$56</f>
        <v>4728.7597271044997</v>
      </c>
      <c r="L66" s="61">
        <f>EFEITO!$N$66*EFEITO!$AA$56</f>
        <v>2579.7202414159283</v>
      </c>
      <c r="M66" s="61">
        <f>$J$66-EFEITO!$K$66*EFEITO!$Y$66</f>
        <v>0</v>
      </c>
      <c r="N66" s="61">
        <f ca="1">$K$66-EFEITO!$M$66*EFEITO!$Z$66</f>
        <v>0</v>
      </c>
      <c r="O66" s="61">
        <f>$L$66-EFEITO!$O$66*EFEITO!$AA$66</f>
        <v>0</v>
      </c>
      <c r="P66" s="45"/>
      <c r="Q66" s="45"/>
      <c r="R66" s="45"/>
      <c r="S66" s="45"/>
      <c r="T66" s="45"/>
      <c r="U66" s="45"/>
      <c r="V66" s="45"/>
      <c r="W66" s="4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1.25" customHeight="1" x14ac:dyDescent="0.2">
      <c r="A67" s="41" t="s">
        <v>21</v>
      </c>
      <c r="B67" s="41" t="s">
        <v>31</v>
      </c>
      <c r="C67" s="41" t="s">
        <v>23</v>
      </c>
      <c r="D67" s="41" t="s">
        <v>32</v>
      </c>
      <c r="E67" s="41" t="s">
        <v>25</v>
      </c>
      <c r="F67" s="41" t="s">
        <v>25</v>
      </c>
      <c r="G67" s="41" t="s">
        <v>25</v>
      </c>
      <c r="H67" s="41" t="s">
        <v>25</v>
      </c>
      <c r="I67" s="60">
        <v>44501</v>
      </c>
      <c r="J67" s="61">
        <f>EFEITO!$J$67*EFEITO!$Y$2</f>
        <v>0</v>
      </c>
      <c r="K67" s="61">
        <f ca="1">EFEITO!$L$67*EFEITO!$Z$2</f>
        <v>228216.13714252281</v>
      </c>
      <c r="L67" s="61">
        <f>EFEITO!$N$67*EFEITO!$AA$2</f>
        <v>90189.73978575076</v>
      </c>
      <c r="M67" s="61">
        <f>$J$67-EFEITO!$K$67*EFEITO!$Y$67</f>
        <v>0</v>
      </c>
      <c r="N67" s="61">
        <f ca="1">$K$67-EFEITO!$M$67*EFEITO!$Z$67</f>
        <v>13692.968228551385</v>
      </c>
      <c r="O67" s="61">
        <f>$L$67-EFEITO!$O$67*EFEITO!$AA$67</f>
        <v>5411.3843871450372</v>
      </c>
      <c r="P67" s="45"/>
      <c r="Q67" s="45"/>
      <c r="R67" s="45"/>
      <c r="S67" s="45"/>
      <c r="T67" s="45"/>
      <c r="U67" s="45"/>
      <c r="V67" s="45"/>
      <c r="W67" s="4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1.25" customHeight="1" x14ac:dyDescent="0.2">
      <c r="A68" s="41" t="s">
        <v>27</v>
      </c>
      <c r="B68" s="41" t="s">
        <v>31</v>
      </c>
      <c r="C68" s="41" t="s">
        <v>23</v>
      </c>
      <c r="D68" s="41" t="s">
        <v>32</v>
      </c>
      <c r="E68" s="41" t="s">
        <v>25</v>
      </c>
      <c r="F68" s="41" t="s">
        <v>25</v>
      </c>
      <c r="G68" s="41" t="s">
        <v>25</v>
      </c>
      <c r="H68" s="41" t="s">
        <v>25</v>
      </c>
      <c r="I68" s="60">
        <v>44501</v>
      </c>
      <c r="J68" s="61">
        <f>EFEITO!$J$68*EFEITO!$Y$2</f>
        <v>0</v>
      </c>
      <c r="K68" s="61">
        <f ca="1">EFEITO!$L$68*EFEITO!$Z$2</f>
        <v>18178.369132421692</v>
      </c>
      <c r="L68" s="61">
        <f>EFEITO!$N$68*EFEITO!$AA$2</f>
        <v>7183.9897139199838</v>
      </c>
      <c r="M68" s="61">
        <f>$J$68-EFEITO!$K$68*EFEITO!$Y$68</f>
        <v>0</v>
      </c>
      <c r="N68" s="61">
        <f ca="1">$K$68-EFEITO!$M$68*EFEITO!$Z$68</f>
        <v>1090.7021479453033</v>
      </c>
      <c r="O68" s="61">
        <f>$L$68-EFEITO!$O$68*EFEITO!$AA$68</f>
        <v>431.03938283519892</v>
      </c>
      <c r="P68" s="45"/>
      <c r="Q68" s="45"/>
      <c r="R68" s="45"/>
      <c r="S68" s="45"/>
      <c r="T68" s="45"/>
      <c r="U68" s="45"/>
      <c r="V68" s="45"/>
      <c r="W68" s="4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1.25" customHeight="1" x14ac:dyDescent="0.2">
      <c r="A69" s="41" t="s">
        <v>21</v>
      </c>
      <c r="B69" s="41" t="s">
        <v>31</v>
      </c>
      <c r="C69" s="41" t="s">
        <v>23</v>
      </c>
      <c r="D69" s="41" t="s">
        <v>32</v>
      </c>
      <c r="E69" s="41" t="s">
        <v>25</v>
      </c>
      <c r="F69" s="41" t="s">
        <v>25</v>
      </c>
      <c r="G69" s="41" t="s">
        <v>25</v>
      </c>
      <c r="H69" s="41" t="s">
        <v>25</v>
      </c>
      <c r="I69" s="60">
        <v>44531</v>
      </c>
      <c r="J69" s="61">
        <f>EFEITO!$J$69*EFEITO!$Y$2</f>
        <v>0</v>
      </c>
      <c r="K69" s="61">
        <f ca="1">EFEITO!$L$69*EFEITO!$Z$2</f>
        <v>219981.25863696472</v>
      </c>
      <c r="L69" s="61">
        <f>EFEITO!$N$69*EFEITO!$AA$2</f>
        <v>86935.3619013344</v>
      </c>
      <c r="M69" s="61">
        <f>$J$69-EFEITO!$K$69*EFEITO!$Y$69</f>
        <v>0</v>
      </c>
      <c r="N69" s="61">
        <f ca="1">$K$69-EFEITO!$M$69*EFEITO!$Z$69</f>
        <v>13198.875518217887</v>
      </c>
      <c r="O69" s="61">
        <f>$L$69-EFEITO!$O$69*EFEITO!$AA$69</f>
        <v>5216.1217140800582</v>
      </c>
      <c r="P69" s="45"/>
      <c r="Q69" s="45"/>
      <c r="R69" s="45"/>
      <c r="S69" s="45"/>
      <c r="T69" s="45"/>
      <c r="U69" s="45"/>
      <c r="V69" s="45"/>
      <c r="W69" s="4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1.25" customHeight="1" x14ac:dyDescent="0.2">
      <c r="A70" s="41" t="s">
        <v>27</v>
      </c>
      <c r="B70" s="41" t="s">
        <v>31</v>
      </c>
      <c r="C70" s="41" t="s">
        <v>23</v>
      </c>
      <c r="D70" s="41" t="s">
        <v>32</v>
      </c>
      <c r="E70" s="41" t="s">
        <v>25</v>
      </c>
      <c r="F70" s="41" t="s">
        <v>25</v>
      </c>
      <c r="G70" s="41" t="s">
        <v>25</v>
      </c>
      <c r="H70" s="41" t="s">
        <v>25</v>
      </c>
      <c r="I70" s="60">
        <v>44531</v>
      </c>
      <c r="J70" s="61">
        <f>EFEITO!$J$70*EFEITO!$Y$2</f>
        <v>0</v>
      </c>
      <c r="K70" s="61">
        <f ca="1">EFEITO!$L$70*EFEITO!$Z$2</f>
        <v>18556.548429825871</v>
      </c>
      <c r="L70" s="61">
        <f>EFEITO!$N$70*EFEITO!$AA$2</f>
        <v>7333.4440551085745</v>
      </c>
      <c r="M70" s="61">
        <f>$J$70-EFEITO!$K$70*EFEITO!$Y$70</f>
        <v>0</v>
      </c>
      <c r="N70" s="61">
        <f ca="1">$K$70-EFEITO!$M$70*EFEITO!$Z$70</f>
        <v>1113.3929057895548</v>
      </c>
      <c r="O70" s="61">
        <f>$L$70-EFEITO!$O$70*EFEITO!$AA$70</f>
        <v>440.00664330651398</v>
      </c>
      <c r="P70" s="45"/>
      <c r="Q70" s="45"/>
      <c r="R70" s="45"/>
      <c r="S70" s="45"/>
      <c r="T70" s="45"/>
      <c r="U70" s="45"/>
      <c r="V70" s="45"/>
      <c r="W70" s="4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1.25" customHeight="1" x14ac:dyDescent="0.2">
      <c r="A71" s="41" t="s">
        <v>21</v>
      </c>
      <c r="B71" s="41" t="s">
        <v>31</v>
      </c>
      <c r="C71" s="41" t="s">
        <v>23</v>
      </c>
      <c r="D71" s="41" t="s">
        <v>32</v>
      </c>
      <c r="E71" s="41" t="s">
        <v>25</v>
      </c>
      <c r="F71" s="41" t="s">
        <v>25</v>
      </c>
      <c r="G71" s="41" t="s">
        <v>25</v>
      </c>
      <c r="H71" s="41" t="s">
        <v>25</v>
      </c>
      <c r="I71" s="60">
        <v>44562</v>
      </c>
      <c r="J71" s="61">
        <f>EFEITO!$J$71*EFEITO!$Y$2</f>
        <v>0</v>
      </c>
      <c r="K71" s="61">
        <f ca="1">EFEITO!$L$71*EFEITO!$Z$2</f>
        <v>255729.8962577816</v>
      </c>
      <c r="L71" s="61">
        <f>EFEITO!$N$71*EFEITO!$AA$2</f>
        <v>101063.02335895982</v>
      </c>
      <c r="M71" s="61">
        <f>$J$71-EFEITO!$K$71*EFEITO!$Y$71</f>
        <v>0</v>
      </c>
      <c r="N71" s="61">
        <f ca="1">$K$71-EFEITO!$M$71*EFEITO!$Z$71</f>
        <v>15343.793775466882</v>
      </c>
      <c r="O71" s="61">
        <f>$L$71-EFEITO!$O$71*EFEITO!$AA$71</f>
        <v>6063.7814015375916</v>
      </c>
      <c r="P71" s="45"/>
      <c r="Q71" s="45"/>
      <c r="R71" s="45"/>
      <c r="S71" s="45"/>
      <c r="T71" s="45"/>
      <c r="U71" s="45"/>
      <c r="V71" s="45"/>
      <c r="W71" s="4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1.25" customHeight="1" x14ac:dyDescent="0.2">
      <c r="A72" s="41" t="s">
        <v>27</v>
      </c>
      <c r="B72" s="41" t="s">
        <v>31</v>
      </c>
      <c r="C72" s="41" t="s">
        <v>23</v>
      </c>
      <c r="D72" s="41" t="s">
        <v>32</v>
      </c>
      <c r="E72" s="41" t="s">
        <v>25</v>
      </c>
      <c r="F72" s="41" t="s">
        <v>25</v>
      </c>
      <c r="G72" s="41" t="s">
        <v>25</v>
      </c>
      <c r="H72" s="41" t="s">
        <v>25</v>
      </c>
      <c r="I72" s="60">
        <v>44562</v>
      </c>
      <c r="J72" s="61">
        <f>EFEITO!$J$72*EFEITO!$Y$2</f>
        <v>0</v>
      </c>
      <c r="K72" s="61">
        <f ca="1">EFEITO!$L$72*EFEITO!$Z$2</f>
        <v>18257.115978410737</v>
      </c>
      <c r="L72" s="61">
        <f>EFEITO!$N$72*EFEITO!$AA$2</f>
        <v>7215.1100266096391</v>
      </c>
      <c r="M72" s="61">
        <f>$J$72-EFEITO!$K$72*EFEITO!$Y$72</f>
        <v>0</v>
      </c>
      <c r="N72" s="61">
        <f ca="1">$K$72-EFEITO!$M$72*EFEITO!$Z$72</f>
        <v>1095.4269587046438</v>
      </c>
      <c r="O72" s="61">
        <f>$L$72-EFEITO!$O$72*EFEITO!$AA$72</f>
        <v>432.90660159657818</v>
      </c>
      <c r="P72" s="45"/>
      <c r="Q72" s="45"/>
      <c r="R72" s="45"/>
      <c r="S72" s="45"/>
      <c r="T72" s="45"/>
      <c r="U72" s="45"/>
      <c r="V72" s="45"/>
      <c r="W72" s="4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1.25" customHeight="1" x14ac:dyDescent="0.2">
      <c r="A73" s="41" t="s">
        <v>21</v>
      </c>
      <c r="B73" s="41" t="s">
        <v>31</v>
      </c>
      <c r="C73" s="41" t="s">
        <v>23</v>
      </c>
      <c r="D73" s="41" t="s">
        <v>32</v>
      </c>
      <c r="E73" s="41" t="s">
        <v>25</v>
      </c>
      <c r="F73" s="41" t="s">
        <v>25</v>
      </c>
      <c r="G73" s="41" t="s">
        <v>25</v>
      </c>
      <c r="H73" s="41" t="s">
        <v>25</v>
      </c>
      <c r="I73" s="60">
        <v>44593</v>
      </c>
      <c r="J73" s="61">
        <f>EFEITO!$J$73*EFEITO!$Y$2</f>
        <v>0</v>
      </c>
      <c r="K73" s="61">
        <f ca="1">EFEITO!$L$73*EFEITO!$Z$2</f>
        <v>256075.02132353603</v>
      </c>
      <c r="L73" s="61">
        <f>EFEITO!$N$73*EFEITO!$AA$2</f>
        <v>101199.41485284657</v>
      </c>
      <c r="M73" s="61">
        <f>$J$73-EFEITO!$K$73*EFEITO!$Y$73</f>
        <v>0</v>
      </c>
      <c r="N73" s="61">
        <f ca="1">$K$73-EFEITO!$M$73*EFEITO!$Z$73</f>
        <v>15364.501279412158</v>
      </c>
      <c r="O73" s="61">
        <f>$L$73-EFEITO!$O$73*EFEITO!$AA$73</f>
        <v>6071.9648911707918</v>
      </c>
      <c r="P73" s="45"/>
      <c r="Q73" s="45"/>
      <c r="R73" s="45"/>
      <c r="S73" s="45"/>
      <c r="T73" s="45"/>
      <c r="U73" s="45"/>
      <c r="V73" s="45"/>
      <c r="W73" s="4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1.25" customHeight="1" x14ac:dyDescent="0.2">
      <c r="A74" s="41" t="s">
        <v>27</v>
      </c>
      <c r="B74" s="41" t="s">
        <v>31</v>
      </c>
      <c r="C74" s="41" t="s">
        <v>23</v>
      </c>
      <c r="D74" s="41" t="s">
        <v>32</v>
      </c>
      <c r="E74" s="41" t="s">
        <v>25</v>
      </c>
      <c r="F74" s="41" t="s">
        <v>25</v>
      </c>
      <c r="G74" s="41" t="s">
        <v>25</v>
      </c>
      <c r="H74" s="41" t="s">
        <v>25</v>
      </c>
      <c r="I74" s="60">
        <v>44593</v>
      </c>
      <c r="J74" s="61">
        <f>EFEITO!$J$74*EFEITO!$Y$2</f>
        <v>0</v>
      </c>
      <c r="K74" s="61">
        <f ca="1">EFEITO!$L$74*EFEITO!$Z$2</f>
        <v>21431.29440006792</v>
      </c>
      <c r="L74" s="61">
        <f>EFEITO!$N$74*EFEITO!$AA$2</f>
        <v>8469.5275689766077</v>
      </c>
      <c r="M74" s="61">
        <f>$J$74-EFEITO!$K$74*EFEITO!$Y$74</f>
        <v>0</v>
      </c>
      <c r="N74" s="61">
        <f ca="1">$K$74-EFEITO!$M$74*EFEITO!$Z$74</f>
        <v>1285.8776640040742</v>
      </c>
      <c r="O74" s="61">
        <f>$L$74-EFEITO!$O$74*EFEITO!$AA$74</f>
        <v>508.17165413859675</v>
      </c>
      <c r="P74" s="45"/>
      <c r="Q74" s="45"/>
      <c r="R74" s="45"/>
      <c r="S74" s="45"/>
      <c r="T74" s="45"/>
      <c r="U74" s="45"/>
      <c r="V74" s="45"/>
      <c r="W74" s="4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1.25" customHeight="1" x14ac:dyDescent="0.2">
      <c r="A75" s="41" t="s">
        <v>21</v>
      </c>
      <c r="B75" s="41" t="s">
        <v>31</v>
      </c>
      <c r="C75" s="41" t="s">
        <v>23</v>
      </c>
      <c r="D75" s="41" t="s">
        <v>32</v>
      </c>
      <c r="E75" s="41" t="s">
        <v>25</v>
      </c>
      <c r="F75" s="41" t="s">
        <v>25</v>
      </c>
      <c r="G75" s="41" t="s">
        <v>25</v>
      </c>
      <c r="H75" s="41" t="s">
        <v>25</v>
      </c>
      <c r="I75" s="60">
        <v>44621</v>
      </c>
      <c r="J75" s="61">
        <f>EFEITO!$J$75*EFEITO!$Y$2</f>
        <v>0</v>
      </c>
      <c r="K75" s="61">
        <f ca="1">EFEITO!$L$75*EFEITO!$Z$2</f>
        <v>250185.04889854061</v>
      </c>
      <c r="L75" s="61">
        <f>EFEITO!$N$75*EFEITO!$AA$2</f>
        <v>98871.73072407773</v>
      </c>
      <c r="M75" s="61">
        <f>$J$75-EFEITO!$K$75*EFEITO!$Y$75</f>
        <v>0</v>
      </c>
      <c r="N75" s="61">
        <f ca="1">$K$75-EFEITO!$M$75*EFEITO!$Z$75</f>
        <v>15011.102933912422</v>
      </c>
      <c r="O75" s="61">
        <f>$L$75-EFEITO!$O$75*EFEITO!$AA$75</f>
        <v>5932.3038434446644</v>
      </c>
      <c r="P75" s="45"/>
      <c r="Q75" s="45"/>
      <c r="R75" s="45"/>
      <c r="S75" s="45"/>
      <c r="T75" s="45"/>
      <c r="U75" s="45"/>
      <c r="V75" s="45"/>
      <c r="W75" s="4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1.25" customHeight="1" x14ac:dyDescent="0.2">
      <c r="A76" s="41" t="s">
        <v>27</v>
      </c>
      <c r="B76" s="41" t="s">
        <v>31</v>
      </c>
      <c r="C76" s="41" t="s">
        <v>23</v>
      </c>
      <c r="D76" s="41" t="s">
        <v>32</v>
      </c>
      <c r="E76" s="41" t="s">
        <v>25</v>
      </c>
      <c r="F76" s="41" t="s">
        <v>25</v>
      </c>
      <c r="G76" s="41" t="s">
        <v>25</v>
      </c>
      <c r="H76" s="41" t="s">
        <v>25</v>
      </c>
      <c r="I76" s="60">
        <v>44621</v>
      </c>
      <c r="J76" s="61">
        <f>EFEITO!$J$76*EFEITO!$Y$2</f>
        <v>0</v>
      </c>
      <c r="K76" s="61">
        <f ca="1">EFEITO!$L$76*EFEITO!$Z$2</f>
        <v>21890.651001670682</v>
      </c>
      <c r="L76" s="61">
        <f>EFEITO!$N$76*EFEITO!$AA$2</f>
        <v>8651.0627263329297</v>
      </c>
      <c r="M76" s="61">
        <f>$J$76-EFEITO!$K$76*EFEITO!$Y$76</f>
        <v>0</v>
      </c>
      <c r="N76" s="61">
        <f ca="1">$K$76-EFEITO!$M$76*EFEITO!$Z$76</f>
        <v>1313.4390601002415</v>
      </c>
      <c r="O76" s="61">
        <f>$L$76-EFEITO!$O$76*EFEITO!$AA$76</f>
        <v>519.06376357997578</v>
      </c>
      <c r="P76" s="45"/>
      <c r="Q76" s="45"/>
      <c r="R76" s="45"/>
      <c r="S76" s="45"/>
      <c r="T76" s="45"/>
      <c r="U76" s="45"/>
      <c r="V76" s="45"/>
      <c r="W76" s="4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1.25" customHeight="1" x14ac:dyDescent="0.2">
      <c r="A77" s="41" t="s">
        <v>21</v>
      </c>
      <c r="B77" s="41" t="s">
        <v>31</v>
      </c>
      <c r="C77" s="41" t="s">
        <v>23</v>
      </c>
      <c r="D77" s="41" t="s">
        <v>32</v>
      </c>
      <c r="E77" s="41" t="s">
        <v>25</v>
      </c>
      <c r="F77" s="41" t="s">
        <v>25</v>
      </c>
      <c r="G77" s="41" t="s">
        <v>25</v>
      </c>
      <c r="H77" s="41" t="s">
        <v>25</v>
      </c>
      <c r="I77" s="60">
        <v>44652</v>
      </c>
      <c r="J77" s="61">
        <f>EFEITO!$J$77*EFEITO!$Y$2</f>
        <v>0</v>
      </c>
      <c r="K77" s="61">
        <f ca="1">EFEITO!$L$77*EFEITO!$Z$2</f>
        <v>223460.21651809802</v>
      </c>
      <c r="L77" s="61">
        <f>EFEITO!$N$77*EFEITO!$AA$2</f>
        <v>88310.226579852082</v>
      </c>
      <c r="M77" s="61">
        <f>$J$77-EFEITO!$K$77*EFEITO!$Y$77</f>
        <v>0</v>
      </c>
      <c r="N77" s="61">
        <f ca="1">$K$77-EFEITO!$M$77*EFEITO!$Z$77</f>
        <v>13407.612991085887</v>
      </c>
      <c r="O77" s="61">
        <f>$L$77-EFEITO!$O$77*EFEITO!$AA$77</f>
        <v>5298.6135947911243</v>
      </c>
      <c r="P77" s="45"/>
      <c r="Q77" s="45"/>
      <c r="R77" s="45"/>
      <c r="S77" s="45"/>
      <c r="T77" s="45"/>
      <c r="U77" s="45"/>
      <c r="V77" s="45"/>
      <c r="W77" s="4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1.25" customHeight="1" x14ac:dyDescent="0.2">
      <c r="A78" s="41" t="s">
        <v>27</v>
      </c>
      <c r="B78" s="41" t="s">
        <v>31</v>
      </c>
      <c r="C78" s="41" t="s">
        <v>23</v>
      </c>
      <c r="D78" s="41" t="s">
        <v>32</v>
      </c>
      <c r="E78" s="41" t="s">
        <v>25</v>
      </c>
      <c r="F78" s="41" t="s">
        <v>25</v>
      </c>
      <c r="G78" s="41" t="s">
        <v>25</v>
      </c>
      <c r="H78" s="41" t="s">
        <v>25</v>
      </c>
      <c r="I78" s="60">
        <v>44652</v>
      </c>
      <c r="J78" s="61">
        <f>EFEITO!$J$78*EFEITO!$Y$2</f>
        <v>0</v>
      </c>
      <c r="K78" s="61">
        <f ca="1">EFEITO!$L$78*EFEITO!$Z$2</f>
        <v>19728.515378465298</v>
      </c>
      <c r="L78" s="61">
        <f>EFEITO!$N$78*EFEITO!$AA$2</f>
        <v>7796.5988322367157</v>
      </c>
      <c r="M78" s="61">
        <f>$J$78-EFEITO!$K$78*EFEITO!$Y$78</f>
        <v>0</v>
      </c>
      <c r="N78" s="61">
        <f ca="1">$K$78-EFEITO!$M$78*EFEITO!$Z$78</f>
        <v>1183.7109227079163</v>
      </c>
      <c r="O78" s="61">
        <f>$L$78-EFEITO!$O$78*EFEITO!$AA$78</f>
        <v>467.79592993420283</v>
      </c>
      <c r="P78" s="45"/>
      <c r="Q78" s="45"/>
      <c r="R78" s="45"/>
      <c r="S78" s="45"/>
      <c r="T78" s="45"/>
      <c r="U78" s="45"/>
      <c r="V78" s="45"/>
      <c r="W78" s="4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1.25" customHeight="1" x14ac:dyDescent="0.2">
      <c r="A79" s="41" t="s">
        <v>21</v>
      </c>
      <c r="B79" s="41" t="s">
        <v>31</v>
      </c>
      <c r="C79" s="41" t="s">
        <v>23</v>
      </c>
      <c r="D79" s="41" t="s">
        <v>32</v>
      </c>
      <c r="E79" s="41" t="s">
        <v>25</v>
      </c>
      <c r="F79" s="41" t="s">
        <v>25</v>
      </c>
      <c r="G79" s="41" t="s">
        <v>25</v>
      </c>
      <c r="H79" s="41" t="s">
        <v>25</v>
      </c>
      <c r="I79" s="60">
        <v>44682</v>
      </c>
      <c r="J79" s="61">
        <f>EFEITO!$J$79*EFEITO!$Y$2</f>
        <v>0</v>
      </c>
      <c r="K79" s="61">
        <f ca="1">EFEITO!$L$79*EFEITO!$Z$2</f>
        <v>207062.40106998416</v>
      </c>
      <c r="L79" s="61">
        <f>EFEITO!$N$79*EFEITO!$AA$2</f>
        <v>81829.901713970408</v>
      </c>
      <c r="M79" s="61">
        <f>$J$79-EFEITO!$K$79*EFEITO!$Y$79</f>
        <v>0</v>
      </c>
      <c r="N79" s="61">
        <f ca="1">$K$79-EFEITO!$M$79*EFEITO!$Z$79</f>
        <v>12423.74406419904</v>
      </c>
      <c r="O79" s="61">
        <f>$L$79-EFEITO!$O$79*EFEITO!$AA$79</f>
        <v>4909.7941028382193</v>
      </c>
      <c r="P79" s="45"/>
      <c r="Q79" s="45"/>
      <c r="R79" s="45"/>
      <c r="S79" s="45"/>
      <c r="T79" s="45"/>
      <c r="U79" s="45"/>
      <c r="V79" s="45"/>
      <c r="W79" s="4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1.25" customHeight="1" x14ac:dyDescent="0.2">
      <c r="A80" s="41" t="s">
        <v>27</v>
      </c>
      <c r="B80" s="41" t="s">
        <v>31</v>
      </c>
      <c r="C80" s="41" t="s">
        <v>23</v>
      </c>
      <c r="D80" s="41" t="s">
        <v>32</v>
      </c>
      <c r="E80" s="41" t="s">
        <v>25</v>
      </c>
      <c r="F80" s="41" t="s">
        <v>25</v>
      </c>
      <c r="G80" s="41" t="s">
        <v>25</v>
      </c>
      <c r="H80" s="41" t="s">
        <v>25</v>
      </c>
      <c r="I80" s="60">
        <v>44682</v>
      </c>
      <c r="J80" s="61">
        <f>EFEITO!$J$80*EFEITO!$Y$2</f>
        <v>0</v>
      </c>
      <c r="K80" s="61">
        <f ca="1">EFEITO!$L$80*EFEITO!$Z$2</f>
        <v>20845.067879927254</v>
      </c>
      <c r="L80" s="61">
        <f>EFEITO!$N$80*EFEITO!$AA$2</f>
        <v>8237.8541300647303</v>
      </c>
      <c r="M80" s="61">
        <f>$J$80-EFEITO!$K$80*EFEITO!$Y$80</f>
        <v>0</v>
      </c>
      <c r="N80" s="61">
        <f ca="1">$K$80-EFEITO!$M$80*EFEITO!$Z$80</f>
        <v>1250.7040727956373</v>
      </c>
      <c r="O80" s="61">
        <f>$L$80-EFEITO!$O$80*EFEITO!$AA$80</f>
        <v>494.27124780388385</v>
      </c>
      <c r="P80" s="45"/>
      <c r="Q80" s="45"/>
      <c r="R80" s="45"/>
      <c r="S80" s="45"/>
      <c r="T80" s="45"/>
      <c r="U80" s="45"/>
      <c r="V80" s="45"/>
      <c r="W80" s="45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1.25" customHeight="1" x14ac:dyDescent="0.2">
      <c r="A81" s="41" t="s">
        <v>21</v>
      </c>
      <c r="B81" s="41" t="s">
        <v>31</v>
      </c>
      <c r="C81" s="41" t="s">
        <v>23</v>
      </c>
      <c r="D81" s="41" t="s">
        <v>32</v>
      </c>
      <c r="E81" s="41" t="s">
        <v>25</v>
      </c>
      <c r="F81" s="41" t="s">
        <v>25</v>
      </c>
      <c r="G81" s="41" t="s">
        <v>25</v>
      </c>
      <c r="H81" s="41" t="s">
        <v>25</v>
      </c>
      <c r="I81" s="60">
        <v>44713</v>
      </c>
      <c r="J81" s="61">
        <f>EFEITO!$J$81*EFEITO!$Y$2</f>
        <v>0</v>
      </c>
      <c r="K81" s="61">
        <f ca="1">EFEITO!$L$81*EFEITO!$Z$2</f>
        <v>226994.10275476688</v>
      </c>
      <c r="L81" s="61">
        <f>EFEITO!$N$81*EFEITO!$AA$2</f>
        <v>89706.798636974258</v>
      </c>
      <c r="M81" s="61">
        <f>$J$81-EFEITO!$K$81*EFEITO!$Y$81</f>
        <v>0</v>
      </c>
      <c r="N81" s="61">
        <f ca="1">$K$81-EFEITO!$M$81*EFEITO!$Z$81</f>
        <v>13619.646165286016</v>
      </c>
      <c r="O81" s="61">
        <f>$L$81-EFEITO!$O$81*EFEITO!$AA$81</f>
        <v>5382.4079182184505</v>
      </c>
      <c r="P81" s="45"/>
      <c r="Q81" s="45"/>
      <c r="R81" s="45"/>
      <c r="S81" s="45"/>
      <c r="T81" s="45"/>
      <c r="U81" s="45"/>
      <c r="V81" s="45"/>
      <c r="W81" s="45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1.25" customHeight="1" x14ac:dyDescent="0.2">
      <c r="A82" s="41" t="s">
        <v>27</v>
      </c>
      <c r="B82" s="41" t="s">
        <v>31</v>
      </c>
      <c r="C82" s="41" t="s">
        <v>23</v>
      </c>
      <c r="D82" s="41" t="s">
        <v>32</v>
      </c>
      <c r="E82" s="41" t="s">
        <v>25</v>
      </c>
      <c r="F82" s="41" t="s">
        <v>25</v>
      </c>
      <c r="G82" s="41" t="s">
        <v>25</v>
      </c>
      <c r="H82" s="41" t="s">
        <v>25</v>
      </c>
      <c r="I82" s="60">
        <v>44713</v>
      </c>
      <c r="J82" s="61">
        <f>EFEITO!$J$82*EFEITO!$Y$2</f>
        <v>0</v>
      </c>
      <c r="K82" s="61">
        <f ca="1">EFEITO!$L$82*EFEITO!$Z$2</f>
        <v>18514.744548621809</v>
      </c>
      <c r="L82" s="61">
        <f>EFEITO!$N$82*EFEITO!$AA$2</f>
        <v>7316.9233952856721</v>
      </c>
      <c r="M82" s="61">
        <f>$J$82-EFEITO!$K$82*EFEITO!$Y$82</f>
        <v>0</v>
      </c>
      <c r="N82" s="61">
        <f ca="1">$K$82-EFEITO!$M$82*EFEITO!$Z$82</f>
        <v>1110.8846729173092</v>
      </c>
      <c r="O82" s="61">
        <f>$L$82-EFEITO!$O$82*EFEITO!$AA$82</f>
        <v>439.01540371714054</v>
      </c>
      <c r="P82" s="45"/>
      <c r="Q82" s="45"/>
      <c r="R82" s="45"/>
      <c r="S82" s="45"/>
      <c r="T82" s="45"/>
      <c r="U82" s="45"/>
      <c r="V82" s="45"/>
      <c r="W82" s="45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1.25" customHeight="1" x14ac:dyDescent="0.2">
      <c r="A83" s="41" t="s">
        <v>21</v>
      </c>
      <c r="B83" s="41" t="s">
        <v>31</v>
      </c>
      <c r="C83" s="41" t="s">
        <v>23</v>
      </c>
      <c r="D83" s="41" t="s">
        <v>32</v>
      </c>
      <c r="E83" s="41" t="s">
        <v>25</v>
      </c>
      <c r="F83" s="41" t="s">
        <v>25</v>
      </c>
      <c r="G83" s="41" t="s">
        <v>25</v>
      </c>
      <c r="H83" s="41" t="s">
        <v>25</v>
      </c>
      <c r="I83" s="60">
        <v>44743</v>
      </c>
      <c r="J83" s="61">
        <f>EFEITO!$J$83*EFEITO!$Y$2</f>
        <v>0</v>
      </c>
      <c r="K83" s="61">
        <f ca="1">EFEITO!$L$83*EFEITO!$Z$2</f>
        <v>216519.31396329816</v>
      </c>
      <c r="L83" s="61">
        <f>EFEITO!$N$83*EFEITO!$AA$2</f>
        <v>85567.220747163257</v>
      </c>
      <c r="M83" s="61">
        <f>$J$83-EFEITO!$K$83*EFEITO!$Y$83</f>
        <v>0</v>
      </c>
      <c r="N83" s="61">
        <f ca="1">$K$83-EFEITO!$M$83*EFEITO!$Z$83</f>
        <v>12991.158837797877</v>
      </c>
      <c r="O83" s="61">
        <f>$L$83-EFEITO!$O$83*EFEITO!$AA$83</f>
        <v>5134.033244829785</v>
      </c>
      <c r="P83" s="45"/>
      <c r="Q83" s="45"/>
      <c r="R83" s="45"/>
      <c r="S83" s="45"/>
      <c r="T83" s="45"/>
      <c r="U83" s="45"/>
      <c r="V83" s="45"/>
      <c r="W83" s="45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1.25" customHeight="1" x14ac:dyDescent="0.2">
      <c r="A84" s="41" t="s">
        <v>27</v>
      </c>
      <c r="B84" s="41" t="s">
        <v>31</v>
      </c>
      <c r="C84" s="41" t="s">
        <v>23</v>
      </c>
      <c r="D84" s="41" t="s">
        <v>32</v>
      </c>
      <c r="E84" s="41" t="s">
        <v>25</v>
      </c>
      <c r="F84" s="41" t="s">
        <v>25</v>
      </c>
      <c r="G84" s="41" t="s">
        <v>25</v>
      </c>
      <c r="H84" s="41" t="s">
        <v>25</v>
      </c>
      <c r="I84" s="60">
        <v>44743</v>
      </c>
      <c r="J84" s="61">
        <f>EFEITO!$J$84*EFEITO!$Y$2</f>
        <v>0</v>
      </c>
      <c r="K84" s="61">
        <f ca="1">EFEITO!$L$84*EFEITO!$Z$2</f>
        <v>16603.918304282703</v>
      </c>
      <c r="L84" s="61">
        <f>EFEITO!$N$84*EFEITO!$AA$2</f>
        <v>6561.7755608224943</v>
      </c>
      <c r="M84" s="61">
        <f>$J$84-EFEITO!$K$84*EFEITO!$Y$84</f>
        <v>0</v>
      </c>
      <c r="N84" s="61">
        <f ca="1">$K$84-EFEITO!$M$84*EFEITO!$Z$84</f>
        <v>996.23509825696237</v>
      </c>
      <c r="O84" s="61">
        <f>$L$84-EFEITO!$O$84*EFEITO!$AA$84</f>
        <v>393.70653364934969</v>
      </c>
      <c r="P84" s="45"/>
      <c r="Q84" s="45"/>
      <c r="R84" s="45"/>
      <c r="S84" s="45"/>
      <c r="T84" s="45"/>
      <c r="U84" s="45"/>
      <c r="V84" s="45"/>
      <c r="W84" s="45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1.25" customHeight="1" x14ac:dyDescent="0.2">
      <c r="A85" s="41" t="s">
        <v>21</v>
      </c>
      <c r="B85" s="41" t="s">
        <v>31</v>
      </c>
      <c r="C85" s="41" t="s">
        <v>23</v>
      </c>
      <c r="D85" s="41" t="s">
        <v>32</v>
      </c>
      <c r="E85" s="41" t="s">
        <v>25</v>
      </c>
      <c r="F85" s="41" t="s">
        <v>25</v>
      </c>
      <c r="G85" s="41" t="s">
        <v>25</v>
      </c>
      <c r="H85" s="41" t="s">
        <v>25</v>
      </c>
      <c r="I85" s="60">
        <v>44774</v>
      </c>
      <c r="J85" s="61">
        <f>EFEITO!$J$85*EFEITO!$Y$2</f>
        <v>0</v>
      </c>
      <c r="K85" s="61">
        <f ca="1">EFEITO!$L$85*EFEITO!$Z$2</f>
        <v>241470.88403406154</v>
      </c>
      <c r="L85" s="61">
        <f>EFEITO!$N$85*EFEITO!$AA$2</f>
        <v>95427.941553784825</v>
      </c>
      <c r="M85" s="61">
        <f>$J$85-EFEITO!$K$85*EFEITO!$Y$85</f>
        <v>0</v>
      </c>
      <c r="N85" s="61">
        <f ca="1">$K$85-EFEITO!$M$85*EFEITO!$Z$85</f>
        <v>14488.253042043681</v>
      </c>
      <c r="O85" s="61">
        <f>$L$85-EFEITO!$O$85*EFEITO!$AA$85</f>
        <v>5725.6764932270889</v>
      </c>
      <c r="P85" s="45"/>
      <c r="Q85" s="45"/>
      <c r="R85" s="45"/>
      <c r="S85" s="45"/>
      <c r="T85" s="45"/>
      <c r="U85" s="45"/>
      <c r="V85" s="45"/>
      <c r="W85" s="45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1.25" customHeight="1" x14ac:dyDescent="0.2">
      <c r="A86" s="41" t="s">
        <v>27</v>
      </c>
      <c r="B86" s="41" t="s">
        <v>31</v>
      </c>
      <c r="C86" s="41" t="s">
        <v>23</v>
      </c>
      <c r="D86" s="41" t="s">
        <v>32</v>
      </c>
      <c r="E86" s="41" t="s">
        <v>25</v>
      </c>
      <c r="F86" s="41" t="s">
        <v>25</v>
      </c>
      <c r="G86" s="41" t="s">
        <v>25</v>
      </c>
      <c r="H86" s="41" t="s">
        <v>25</v>
      </c>
      <c r="I86" s="60">
        <v>44774</v>
      </c>
      <c r="J86" s="61">
        <f>EFEITO!$J$86*EFEITO!$Y$2</f>
        <v>0</v>
      </c>
      <c r="K86" s="61">
        <f ca="1">EFEITO!$L$86*EFEITO!$Z$2</f>
        <v>22029.187119614373</v>
      </c>
      <c r="L86" s="61">
        <f>EFEITO!$N$86*EFEITO!$AA$2</f>
        <v>8705.8114245832494</v>
      </c>
      <c r="M86" s="61">
        <f>$J$86-EFEITO!$K$86*EFEITO!$Y$86</f>
        <v>0</v>
      </c>
      <c r="N86" s="61">
        <f ca="1">$K$86-EFEITO!$M$86*EFEITO!$Z$86</f>
        <v>1321.751227176861</v>
      </c>
      <c r="O86" s="61">
        <f>$L$86-EFEITO!$O$86*EFEITO!$AA$86</f>
        <v>522.34868547499445</v>
      </c>
      <c r="P86" s="45"/>
      <c r="Q86" s="45"/>
      <c r="R86" s="45"/>
      <c r="S86" s="45"/>
      <c r="T86" s="45"/>
      <c r="U86" s="45"/>
      <c r="V86" s="45"/>
      <c r="W86" s="45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1.25" customHeight="1" x14ac:dyDescent="0.2">
      <c r="A87" s="41" t="s">
        <v>21</v>
      </c>
      <c r="B87" s="41" t="s">
        <v>31</v>
      </c>
      <c r="C87" s="41" t="s">
        <v>23</v>
      </c>
      <c r="D87" s="41" t="s">
        <v>32</v>
      </c>
      <c r="E87" s="41" t="s">
        <v>25</v>
      </c>
      <c r="F87" s="41" t="s">
        <v>25</v>
      </c>
      <c r="G87" s="41" t="s">
        <v>25</v>
      </c>
      <c r="H87" s="41" t="s">
        <v>25</v>
      </c>
      <c r="I87" s="60">
        <v>44805</v>
      </c>
      <c r="J87" s="61">
        <f>EFEITO!$J$87*EFEITO!$Y$2</f>
        <v>0</v>
      </c>
      <c r="K87" s="61">
        <f ca="1">EFEITO!$L$87*EFEITO!$Z$2</f>
        <v>215617.61396755942</v>
      </c>
      <c r="L87" s="61">
        <f>EFEITO!$N$87*EFEITO!$AA$2</f>
        <v>85210.87395679715</v>
      </c>
      <c r="M87" s="61">
        <f>$J$87-EFEITO!$K$87*EFEITO!$Y$87</f>
        <v>0</v>
      </c>
      <c r="N87" s="61">
        <f ca="1">$K$87-EFEITO!$M$87*EFEITO!$Z$87</f>
        <v>12937.056838053541</v>
      </c>
      <c r="O87" s="61">
        <f>$L$87-EFEITO!$O$87*EFEITO!$AA$87</f>
        <v>5112.652437407829</v>
      </c>
      <c r="P87" s="45"/>
      <c r="Q87" s="45"/>
      <c r="R87" s="45"/>
      <c r="S87" s="45"/>
      <c r="T87" s="45"/>
      <c r="U87" s="45"/>
      <c r="V87" s="45"/>
      <c r="W87" s="45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1.25" customHeight="1" x14ac:dyDescent="0.2">
      <c r="A88" s="41" t="s">
        <v>27</v>
      </c>
      <c r="B88" s="41" t="s">
        <v>31</v>
      </c>
      <c r="C88" s="41" t="s">
        <v>23</v>
      </c>
      <c r="D88" s="41" t="s">
        <v>32</v>
      </c>
      <c r="E88" s="41" t="s">
        <v>25</v>
      </c>
      <c r="F88" s="41" t="s">
        <v>25</v>
      </c>
      <c r="G88" s="41" t="s">
        <v>25</v>
      </c>
      <c r="H88" s="41" t="s">
        <v>25</v>
      </c>
      <c r="I88" s="60">
        <v>44805</v>
      </c>
      <c r="J88" s="61">
        <f>EFEITO!$J$88*EFEITO!$Y$2</f>
        <v>0</v>
      </c>
      <c r="K88" s="61">
        <f ca="1">EFEITO!$L$88*EFEITO!$Z$2</f>
        <v>22669.855903648702</v>
      </c>
      <c r="L88" s="61">
        <f>EFEITO!$N$88*EFEITO!$AA$2</f>
        <v>8959.0001414040253</v>
      </c>
      <c r="M88" s="61">
        <f>$J$88-EFEITO!$K$88*EFEITO!$Y$88</f>
        <v>0</v>
      </c>
      <c r="N88" s="61">
        <f ca="1">$K$88-EFEITO!$M$88*EFEITO!$Z$88</f>
        <v>1360.191354218925</v>
      </c>
      <c r="O88" s="61">
        <f>$L$88-EFEITO!$O$88*EFEITO!$AA$88</f>
        <v>537.54000848424221</v>
      </c>
      <c r="P88" s="45"/>
      <c r="Q88" s="45"/>
      <c r="R88" s="45"/>
      <c r="S88" s="45"/>
      <c r="T88" s="45"/>
      <c r="U88" s="45"/>
      <c r="V88" s="45"/>
      <c r="W88" s="45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1.25" customHeight="1" x14ac:dyDescent="0.2">
      <c r="A89" s="41" t="s">
        <v>21</v>
      </c>
      <c r="B89" s="41" t="s">
        <v>31</v>
      </c>
      <c r="C89" s="41" t="s">
        <v>23</v>
      </c>
      <c r="D89" s="41" t="s">
        <v>32</v>
      </c>
      <c r="E89" s="41" t="s">
        <v>25</v>
      </c>
      <c r="F89" s="41" t="s">
        <v>25</v>
      </c>
      <c r="G89" s="41" t="s">
        <v>25</v>
      </c>
      <c r="H89" s="41" t="s">
        <v>25</v>
      </c>
      <c r="I89" s="60">
        <v>44835</v>
      </c>
      <c r="J89" s="61">
        <f>EFEITO!$J$89*EFEITO!$Y$2</f>
        <v>0</v>
      </c>
      <c r="K89" s="61">
        <f ca="1">EFEITO!$L$89*EFEITO!$Z$2</f>
        <v>238528.08523395244</v>
      </c>
      <c r="L89" s="61">
        <f>EFEITO!$N$89*EFEITO!$AA$2</f>
        <v>94264.963942530681</v>
      </c>
      <c r="M89" s="61">
        <f>$J$89-EFEITO!$K$89*EFEITO!$Y$89</f>
        <v>0</v>
      </c>
      <c r="N89" s="61">
        <f ca="1">$K$89-EFEITO!$M$89*EFEITO!$Z$89</f>
        <v>14311.685114037158</v>
      </c>
      <c r="O89" s="61">
        <f>$L$89-EFEITO!$O$89*EFEITO!$AA$89</f>
        <v>5655.8978365518415</v>
      </c>
      <c r="P89" s="45"/>
      <c r="Q89" s="45"/>
      <c r="R89" s="45"/>
      <c r="S89" s="45"/>
      <c r="T89" s="45"/>
      <c r="U89" s="45"/>
      <c r="V89" s="45"/>
      <c r="W89" s="45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1.25" customHeight="1" x14ac:dyDescent="0.2">
      <c r="A90" s="41" t="s">
        <v>27</v>
      </c>
      <c r="B90" s="41" t="s">
        <v>31</v>
      </c>
      <c r="C90" s="41" t="s">
        <v>23</v>
      </c>
      <c r="D90" s="41" t="s">
        <v>32</v>
      </c>
      <c r="E90" s="41" t="s">
        <v>25</v>
      </c>
      <c r="F90" s="41" t="s">
        <v>25</v>
      </c>
      <c r="G90" s="41" t="s">
        <v>25</v>
      </c>
      <c r="H90" s="41" t="s">
        <v>25</v>
      </c>
      <c r="I90" s="60">
        <v>44835</v>
      </c>
      <c r="J90" s="61">
        <f>EFEITO!$J$90*EFEITO!$Y$2</f>
        <v>0</v>
      </c>
      <c r="K90" s="61">
        <f ca="1">EFEITO!$L$90*EFEITO!$Z$2</f>
        <v>5776.7130724309272</v>
      </c>
      <c r="L90" s="61">
        <f>EFEITO!$N$90*EFEITO!$AA$2</f>
        <v>2282.9246666905124</v>
      </c>
      <c r="M90" s="61">
        <f>$J$90-EFEITO!$K$90*EFEITO!$Y$90</f>
        <v>0</v>
      </c>
      <c r="N90" s="61">
        <f ca="1">$K$90-EFEITO!$M$90*EFEITO!$Z$90</f>
        <v>346.60278434585507</v>
      </c>
      <c r="O90" s="61">
        <f>$L$90-EFEITO!$O$90*EFEITO!$AA$90</f>
        <v>136.9754800014307</v>
      </c>
      <c r="P90" s="45"/>
      <c r="Q90" s="45"/>
      <c r="R90" s="45"/>
      <c r="S90" s="45"/>
      <c r="T90" s="45"/>
      <c r="U90" s="45"/>
      <c r="V90" s="45"/>
      <c r="W90" s="45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1.25" customHeight="1" x14ac:dyDescent="0.2">
      <c r="A91" s="41" t="s">
        <v>21</v>
      </c>
      <c r="B91" s="41" t="s">
        <v>28</v>
      </c>
      <c r="C91" s="41" t="s">
        <v>23</v>
      </c>
      <c r="D91" s="41" t="s">
        <v>30</v>
      </c>
      <c r="E91" s="41" t="s">
        <v>25</v>
      </c>
      <c r="F91" s="41" t="s">
        <v>25</v>
      </c>
      <c r="G91" s="41" t="s">
        <v>25</v>
      </c>
      <c r="H91" s="41" t="s">
        <v>25</v>
      </c>
      <c r="I91" s="60">
        <v>44501</v>
      </c>
      <c r="J91" s="61">
        <f>EFEITO!$J$91*EFEITO!$Y$91</f>
        <v>0</v>
      </c>
      <c r="K91" s="61">
        <f ca="1">EFEITO!$L$91*EFEITO!$Z$91</f>
        <v>47631.147807250229</v>
      </c>
      <c r="L91" s="61">
        <f>EFEITO!$N$91*EFEITO!$AA$91</f>
        <v>18823.562961937892</v>
      </c>
      <c r="M91" s="61">
        <f>$J$91-EFEITO!$K$91*EFEITO!$Y$91</f>
        <v>0</v>
      </c>
      <c r="N91" s="61">
        <f ca="1">$K$91-EFEITO!$M$91*EFEITO!$Z$91</f>
        <v>0</v>
      </c>
      <c r="O91" s="61">
        <f>$L$91-EFEITO!$O$91*EFEITO!$AA$91</f>
        <v>0</v>
      </c>
      <c r="P91" s="45"/>
      <c r="Q91" s="45"/>
      <c r="R91" s="45"/>
      <c r="S91" s="45"/>
      <c r="T91" s="45"/>
      <c r="U91" s="45"/>
      <c r="V91" s="45"/>
      <c r="W91" s="45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1.25" customHeight="1" x14ac:dyDescent="0.2">
      <c r="A92" s="41" t="s">
        <v>27</v>
      </c>
      <c r="B92" s="41" t="s">
        <v>28</v>
      </c>
      <c r="C92" s="41" t="s">
        <v>23</v>
      </c>
      <c r="D92" s="41" t="s">
        <v>30</v>
      </c>
      <c r="E92" s="41" t="s">
        <v>25</v>
      </c>
      <c r="F92" s="41" t="s">
        <v>25</v>
      </c>
      <c r="G92" s="41" t="s">
        <v>25</v>
      </c>
      <c r="H92" s="41" t="s">
        <v>25</v>
      </c>
      <c r="I92" s="60">
        <v>44501</v>
      </c>
      <c r="J92" s="61">
        <f>EFEITO!$J$92*EFEITO!$Y$92</f>
        <v>0</v>
      </c>
      <c r="K92" s="61">
        <f ca="1">EFEITO!$L$92*EFEITO!$Z$92</f>
        <v>5957.053071578679</v>
      </c>
      <c r="L92" s="61">
        <f>EFEITO!$N$92*EFEITO!$AA$92</f>
        <v>2354.1940247637353</v>
      </c>
      <c r="M92" s="61">
        <f>$J$92-EFEITO!$K$92*EFEITO!$Y$92</f>
        <v>0</v>
      </c>
      <c r="N92" s="61">
        <f ca="1">$K$92-EFEITO!$M$92*EFEITO!$Z$92</f>
        <v>0</v>
      </c>
      <c r="O92" s="61">
        <f>$L$92-EFEITO!$O$92*EFEITO!$AA$92</f>
        <v>0</v>
      </c>
      <c r="P92" s="45"/>
      <c r="Q92" s="45"/>
      <c r="R92" s="45"/>
      <c r="S92" s="45"/>
      <c r="T92" s="45"/>
      <c r="U92" s="45"/>
      <c r="V92" s="45"/>
      <c r="W92" s="45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1.25" customHeight="1" x14ac:dyDescent="0.2">
      <c r="A93" s="41" t="s">
        <v>21</v>
      </c>
      <c r="B93" s="41" t="s">
        <v>28</v>
      </c>
      <c r="C93" s="41" t="s">
        <v>23</v>
      </c>
      <c r="D93" s="41" t="s">
        <v>30</v>
      </c>
      <c r="E93" s="41" t="s">
        <v>25</v>
      </c>
      <c r="F93" s="41" t="s">
        <v>25</v>
      </c>
      <c r="G93" s="41" t="s">
        <v>25</v>
      </c>
      <c r="H93" s="41" t="s">
        <v>25</v>
      </c>
      <c r="I93" s="60">
        <v>44531</v>
      </c>
      <c r="J93" s="61">
        <f>EFEITO!$J$93*EFEITO!$Y$93</f>
        <v>0</v>
      </c>
      <c r="K93" s="61">
        <f ca="1">EFEITO!$L$93*EFEITO!$Z$93</f>
        <v>48235.359718141481</v>
      </c>
      <c r="L93" s="61">
        <f>EFEITO!$N$93*EFEITO!$AA$93</f>
        <v>19062.34412658753</v>
      </c>
      <c r="M93" s="61">
        <f>$J$93-EFEITO!$K$93*EFEITO!$Y$93</f>
        <v>0</v>
      </c>
      <c r="N93" s="61">
        <f ca="1">$K$93-EFEITO!$M$93*EFEITO!$Z$93</f>
        <v>0</v>
      </c>
      <c r="O93" s="61">
        <f>$L$93-EFEITO!$O$93*EFEITO!$AA$93</f>
        <v>0</v>
      </c>
      <c r="P93" s="45"/>
      <c r="Q93" s="45"/>
      <c r="R93" s="45"/>
      <c r="S93" s="45"/>
      <c r="T93" s="45"/>
      <c r="U93" s="45"/>
      <c r="V93" s="45"/>
      <c r="W93" s="45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1.25" customHeight="1" x14ac:dyDescent="0.2">
      <c r="A94" s="41" t="s">
        <v>27</v>
      </c>
      <c r="B94" s="41" t="s">
        <v>28</v>
      </c>
      <c r="C94" s="41" t="s">
        <v>23</v>
      </c>
      <c r="D94" s="41" t="s">
        <v>30</v>
      </c>
      <c r="E94" s="41" t="s">
        <v>25</v>
      </c>
      <c r="F94" s="41" t="s">
        <v>25</v>
      </c>
      <c r="G94" s="41" t="s">
        <v>25</v>
      </c>
      <c r="H94" s="41" t="s">
        <v>25</v>
      </c>
      <c r="I94" s="60">
        <v>44531</v>
      </c>
      <c r="J94" s="61">
        <f>EFEITO!$J$94*EFEITO!$Y$94</f>
        <v>0</v>
      </c>
      <c r="K94" s="61">
        <f ca="1">EFEITO!$L$94*EFEITO!$Z$94</f>
        <v>6764.9373804292509</v>
      </c>
      <c r="L94" s="61">
        <f>EFEITO!$N$94*EFEITO!$AA$94</f>
        <v>2673.4653808761241</v>
      </c>
      <c r="M94" s="61">
        <f>$J$94-EFEITO!$K$94*EFEITO!$Y$94</f>
        <v>0</v>
      </c>
      <c r="N94" s="61">
        <f ca="1">$K$94-EFEITO!$M$94*EFEITO!$Z$94</f>
        <v>0</v>
      </c>
      <c r="O94" s="61">
        <f>$L$94-EFEITO!$O$94*EFEITO!$AA$94</f>
        <v>0</v>
      </c>
      <c r="P94" s="45"/>
      <c r="Q94" s="45"/>
      <c r="R94" s="45"/>
      <c r="S94" s="45"/>
      <c r="T94" s="45"/>
      <c r="U94" s="45"/>
      <c r="V94" s="45"/>
      <c r="W94" s="45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1.25" customHeight="1" x14ac:dyDescent="0.2">
      <c r="A95" s="41" t="s">
        <v>21</v>
      </c>
      <c r="B95" s="41" t="s">
        <v>28</v>
      </c>
      <c r="C95" s="41" t="s">
        <v>23</v>
      </c>
      <c r="D95" s="41" t="s">
        <v>30</v>
      </c>
      <c r="E95" s="41" t="s">
        <v>25</v>
      </c>
      <c r="F95" s="41" t="s">
        <v>25</v>
      </c>
      <c r="G95" s="41" t="s">
        <v>25</v>
      </c>
      <c r="H95" s="41" t="s">
        <v>25</v>
      </c>
      <c r="I95" s="60">
        <v>44562</v>
      </c>
      <c r="J95" s="61">
        <f>EFEITO!$J$95*EFEITO!$Y$95</f>
        <v>0</v>
      </c>
      <c r="K95" s="61">
        <f ca="1">EFEITO!$L$95*EFEITO!$Z$95</f>
        <v>52783.719211471682</v>
      </c>
      <c r="L95" s="61">
        <f>EFEITO!$N$95*EFEITO!$AA$95</f>
        <v>20859.830335458544</v>
      </c>
      <c r="M95" s="61">
        <f>$J$95-EFEITO!$K$95*EFEITO!$Y$95</f>
        <v>0</v>
      </c>
      <c r="N95" s="61">
        <f ca="1">$K$95-EFEITO!$M$95*EFEITO!$Z$95</f>
        <v>0</v>
      </c>
      <c r="O95" s="61">
        <f>$L$95-EFEITO!$O$95*EFEITO!$AA$95</f>
        <v>0</v>
      </c>
      <c r="P95" s="45"/>
      <c r="Q95" s="45"/>
      <c r="R95" s="45"/>
      <c r="S95" s="45"/>
      <c r="T95" s="45"/>
      <c r="U95" s="45"/>
      <c r="V95" s="45"/>
      <c r="W95" s="45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1.25" customHeight="1" x14ac:dyDescent="0.2">
      <c r="A96" s="41" t="s">
        <v>27</v>
      </c>
      <c r="B96" s="41" t="s">
        <v>28</v>
      </c>
      <c r="C96" s="41" t="s">
        <v>23</v>
      </c>
      <c r="D96" s="41" t="s">
        <v>30</v>
      </c>
      <c r="E96" s="41" t="s">
        <v>25</v>
      </c>
      <c r="F96" s="41" t="s">
        <v>25</v>
      </c>
      <c r="G96" s="41" t="s">
        <v>25</v>
      </c>
      <c r="H96" s="41" t="s">
        <v>25</v>
      </c>
      <c r="I96" s="60">
        <v>44562</v>
      </c>
      <c r="J96" s="61">
        <f>EFEITO!$J$96*EFEITO!$Y$96</f>
        <v>0</v>
      </c>
      <c r="K96" s="61">
        <f ca="1">EFEITO!$L$96*EFEITO!$Z$96</f>
        <v>7665.1791012422837</v>
      </c>
      <c r="L96" s="61">
        <f>EFEITO!$N$96*EFEITO!$AA$96</f>
        <v>3029.2358691553932</v>
      </c>
      <c r="M96" s="61">
        <f>$J$96-EFEITO!$K$96*EFEITO!$Y$96</f>
        <v>0</v>
      </c>
      <c r="N96" s="61">
        <f ca="1">$K$96-EFEITO!$M$96*EFEITO!$Z$96</f>
        <v>0</v>
      </c>
      <c r="O96" s="61">
        <f>$L$96-EFEITO!$O$96*EFEITO!$AA$96</f>
        <v>0</v>
      </c>
      <c r="P96" s="45"/>
      <c r="Q96" s="45"/>
      <c r="R96" s="45"/>
      <c r="S96" s="45"/>
      <c r="T96" s="45"/>
      <c r="U96" s="45"/>
      <c r="V96" s="45"/>
      <c r="W96" s="45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1.25" customHeight="1" x14ac:dyDescent="0.2">
      <c r="A97" s="41" t="s">
        <v>21</v>
      </c>
      <c r="B97" s="41" t="s">
        <v>28</v>
      </c>
      <c r="C97" s="41" t="s">
        <v>23</v>
      </c>
      <c r="D97" s="41" t="s">
        <v>30</v>
      </c>
      <c r="E97" s="41" t="s">
        <v>25</v>
      </c>
      <c r="F97" s="41" t="s">
        <v>25</v>
      </c>
      <c r="G97" s="41" t="s">
        <v>25</v>
      </c>
      <c r="H97" s="41" t="s">
        <v>25</v>
      </c>
      <c r="I97" s="60">
        <v>44593</v>
      </c>
      <c r="J97" s="61">
        <f>EFEITO!$J$97*EFEITO!$Y$97</f>
        <v>0</v>
      </c>
      <c r="K97" s="61">
        <f ca="1">EFEITO!$L$97*EFEITO!$Z$97</f>
        <v>55431.946476584759</v>
      </c>
      <c r="L97" s="61">
        <f>EFEITO!$N$97*EFEITO!$AA$97</f>
        <v>21906.394925169916</v>
      </c>
      <c r="M97" s="61">
        <f>$J$97-EFEITO!$K$97*EFEITO!$Y$97</f>
        <v>0</v>
      </c>
      <c r="N97" s="61">
        <f ca="1">$K$97-EFEITO!$M$97*EFEITO!$Z$97</f>
        <v>0</v>
      </c>
      <c r="O97" s="61">
        <f>$L$97-EFEITO!$O$97*EFEITO!$AA$97</f>
        <v>0</v>
      </c>
      <c r="P97" s="45"/>
      <c r="Q97" s="45"/>
      <c r="R97" s="45"/>
      <c r="S97" s="45"/>
      <c r="T97" s="45"/>
      <c r="U97" s="45"/>
      <c r="V97" s="45"/>
      <c r="W97" s="45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1.25" customHeight="1" x14ac:dyDescent="0.2">
      <c r="A98" s="41" t="s">
        <v>27</v>
      </c>
      <c r="B98" s="41" t="s">
        <v>28</v>
      </c>
      <c r="C98" s="41" t="s">
        <v>23</v>
      </c>
      <c r="D98" s="41" t="s">
        <v>30</v>
      </c>
      <c r="E98" s="41" t="s">
        <v>25</v>
      </c>
      <c r="F98" s="41" t="s">
        <v>25</v>
      </c>
      <c r="G98" s="41" t="s">
        <v>25</v>
      </c>
      <c r="H98" s="41" t="s">
        <v>25</v>
      </c>
      <c r="I98" s="60">
        <v>44593</v>
      </c>
      <c r="J98" s="61">
        <f>EFEITO!$J$98*EFEITO!$Y$98</f>
        <v>0</v>
      </c>
      <c r="K98" s="61">
        <f ca="1">EFEITO!$L$98*EFEITO!$Z$98</f>
        <v>7615.1116621257916</v>
      </c>
      <c r="L98" s="61">
        <f>EFEITO!$N$98*EFEITO!$AA$98</f>
        <v>3009.449497507032</v>
      </c>
      <c r="M98" s="61">
        <f>$J$98-EFEITO!$K$98*EFEITO!$Y$98</f>
        <v>0</v>
      </c>
      <c r="N98" s="61">
        <f ca="1">$K$98-EFEITO!$M$98*EFEITO!$Z$98</f>
        <v>0</v>
      </c>
      <c r="O98" s="61">
        <f>$L$98-EFEITO!$O$98*EFEITO!$AA$98</f>
        <v>0</v>
      </c>
      <c r="P98" s="45"/>
      <c r="Q98" s="45"/>
      <c r="R98" s="45"/>
      <c r="S98" s="45"/>
      <c r="T98" s="45"/>
      <c r="U98" s="45"/>
      <c r="V98" s="45"/>
      <c r="W98" s="45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1.25" customHeight="1" x14ac:dyDescent="0.2">
      <c r="A99" s="41" t="s">
        <v>21</v>
      </c>
      <c r="B99" s="41" t="s">
        <v>28</v>
      </c>
      <c r="C99" s="41" t="s">
        <v>23</v>
      </c>
      <c r="D99" s="41" t="s">
        <v>30</v>
      </c>
      <c r="E99" s="41" t="s">
        <v>25</v>
      </c>
      <c r="F99" s="41" t="s">
        <v>25</v>
      </c>
      <c r="G99" s="41" t="s">
        <v>25</v>
      </c>
      <c r="H99" s="41" t="s">
        <v>25</v>
      </c>
      <c r="I99" s="60">
        <v>44621</v>
      </c>
      <c r="J99" s="61">
        <f>EFEITO!$J$99*EFEITO!$Y$99</f>
        <v>0</v>
      </c>
      <c r="K99" s="61">
        <f ca="1">EFEITO!$L$99*EFEITO!$Z$99</f>
        <v>54937.591276764644</v>
      </c>
      <c r="L99" s="61">
        <f>EFEITO!$N$99*EFEITO!$AA$99</f>
        <v>21711.028517729301</v>
      </c>
      <c r="M99" s="61">
        <f>$J$99-EFEITO!$K$99*EFEITO!$Y$99</f>
        <v>0</v>
      </c>
      <c r="N99" s="61">
        <f ca="1">$K$99-EFEITO!$M$99*EFEITO!$Z$99</f>
        <v>0</v>
      </c>
      <c r="O99" s="61">
        <f>$L$99-EFEITO!$O$99*EFEITO!$AA$99</f>
        <v>0</v>
      </c>
      <c r="P99" s="45"/>
      <c r="Q99" s="45"/>
      <c r="R99" s="45"/>
      <c r="S99" s="45"/>
      <c r="T99" s="45"/>
      <c r="U99" s="45"/>
      <c r="V99" s="45"/>
      <c r="W99" s="45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1.25" customHeight="1" x14ac:dyDescent="0.2">
      <c r="A100" s="41" t="s">
        <v>27</v>
      </c>
      <c r="B100" s="41" t="s">
        <v>28</v>
      </c>
      <c r="C100" s="41" t="s">
        <v>23</v>
      </c>
      <c r="D100" s="41" t="s">
        <v>30</v>
      </c>
      <c r="E100" s="41" t="s">
        <v>25</v>
      </c>
      <c r="F100" s="41" t="s">
        <v>25</v>
      </c>
      <c r="G100" s="41" t="s">
        <v>25</v>
      </c>
      <c r="H100" s="41" t="s">
        <v>25</v>
      </c>
      <c r="I100" s="60">
        <v>44621</v>
      </c>
      <c r="J100" s="61">
        <f>EFEITO!$J$100*EFEITO!$Y$100</f>
        <v>0</v>
      </c>
      <c r="K100" s="61">
        <f ca="1">EFEITO!$L$100*EFEITO!$Z$100</f>
        <v>8144.4654601632601</v>
      </c>
      <c r="L100" s="61">
        <f>EFEITO!$N$100*EFEITO!$AA$100</f>
        <v>3218.6471550319366</v>
      </c>
      <c r="M100" s="61">
        <f>$J$100-EFEITO!$K$100*EFEITO!$Y$100</f>
        <v>0</v>
      </c>
      <c r="N100" s="61">
        <f ca="1">$K$100-EFEITO!$M$100*EFEITO!$Z$100</f>
        <v>0</v>
      </c>
      <c r="O100" s="61">
        <f>$L$100-EFEITO!$O$100*EFEITO!$AA$100</f>
        <v>0</v>
      </c>
      <c r="P100" s="45"/>
      <c r="Q100" s="45"/>
      <c r="R100" s="45"/>
      <c r="S100" s="45"/>
      <c r="T100" s="45"/>
      <c r="U100" s="45"/>
      <c r="V100" s="45"/>
      <c r="W100" s="45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1.25" customHeight="1" x14ac:dyDescent="0.2">
      <c r="A101" s="41" t="s">
        <v>21</v>
      </c>
      <c r="B101" s="41" t="s">
        <v>28</v>
      </c>
      <c r="C101" s="41" t="s">
        <v>23</v>
      </c>
      <c r="D101" s="41" t="s">
        <v>30</v>
      </c>
      <c r="E101" s="41" t="s">
        <v>25</v>
      </c>
      <c r="F101" s="41" t="s">
        <v>25</v>
      </c>
      <c r="G101" s="41" t="s">
        <v>25</v>
      </c>
      <c r="H101" s="41" t="s">
        <v>25</v>
      </c>
      <c r="I101" s="60">
        <v>44652</v>
      </c>
      <c r="J101" s="61">
        <f>EFEITO!$J$101*EFEITO!$Y$101</f>
        <v>0</v>
      </c>
      <c r="K101" s="61">
        <f ca="1">EFEITO!$L$101*EFEITO!$Z$101</f>
        <v>52785.663578039319</v>
      </c>
      <c r="L101" s="61">
        <f>EFEITO!$N$101*EFEITO!$AA$101</f>
        <v>20860.598738241006</v>
      </c>
      <c r="M101" s="61">
        <f>$J$101-EFEITO!$K$101*EFEITO!$Y$101</f>
        <v>0</v>
      </c>
      <c r="N101" s="61">
        <f ca="1">$K$101-EFEITO!$M$101*EFEITO!$Z$101</f>
        <v>0</v>
      </c>
      <c r="O101" s="61">
        <f>$L$101-EFEITO!$O$101*EFEITO!$AA$101</f>
        <v>0</v>
      </c>
      <c r="P101" s="45"/>
      <c r="Q101" s="45"/>
      <c r="R101" s="45"/>
      <c r="S101" s="45"/>
      <c r="T101" s="45"/>
      <c r="U101" s="45"/>
      <c r="V101" s="45"/>
      <c r="W101" s="45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1.25" customHeight="1" x14ac:dyDescent="0.2">
      <c r="A102" s="41" t="s">
        <v>27</v>
      </c>
      <c r="B102" s="41" t="s">
        <v>28</v>
      </c>
      <c r="C102" s="41" t="s">
        <v>23</v>
      </c>
      <c r="D102" s="41" t="s">
        <v>30</v>
      </c>
      <c r="E102" s="41" t="s">
        <v>25</v>
      </c>
      <c r="F102" s="41" t="s">
        <v>25</v>
      </c>
      <c r="G102" s="41" t="s">
        <v>25</v>
      </c>
      <c r="H102" s="41" t="s">
        <v>25</v>
      </c>
      <c r="I102" s="60">
        <v>44652</v>
      </c>
      <c r="J102" s="61">
        <f>EFEITO!$J$102*EFEITO!$Y$102</f>
        <v>0</v>
      </c>
      <c r="K102" s="61">
        <f ca="1">EFEITO!$L$102*EFEITO!$Z$102</f>
        <v>5960.4557130720323</v>
      </c>
      <c r="L102" s="61">
        <f>EFEITO!$N$102*EFEITO!$AA$102</f>
        <v>2355.5387296330414</v>
      </c>
      <c r="M102" s="61">
        <f>$J$102-EFEITO!$K$102*EFEITO!$Y$102</f>
        <v>0</v>
      </c>
      <c r="N102" s="61">
        <f ca="1">$K$102-EFEITO!$M$102*EFEITO!$Z$102</f>
        <v>0</v>
      </c>
      <c r="O102" s="61">
        <f>$L$102-EFEITO!$O$102*EFEITO!$AA$102</f>
        <v>0</v>
      </c>
      <c r="P102" s="45"/>
      <c r="Q102" s="45"/>
      <c r="R102" s="45"/>
      <c r="S102" s="45"/>
      <c r="T102" s="45"/>
      <c r="U102" s="45"/>
      <c r="V102" s="45"/>
      <c r="W102" s="45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1.25" customHeight="1" x14ac:dyDescent="0.2">
      <c r="A103" s="41" t="s">
        <v>21</v>
      </c>
      <c r="B103" s="41" t="s">
        <v>28</v>
      </c>
      <c r="C103" s="41" t="s">
        <v>23</v>
      </c>
      <c r="D103" s="41" t="s">
        <v>30</v>
      </c>
      <c r="E103" s="41" t="s">
        <v>25</v>
      </c>
      <c r="F103" s="41" t="s">
        <v>25</v>
      </c>
      <c r="G103" s="41" t="s">
        <v>25</v>
      </c>
      <c r="H103" s="41" t="s">
        <v>25</v>
      </c>
      <c r="I103" s="60">
        <v>44682</v>
      </c>
      <c r="J103" s="61">
        <f>EFEITO!$J$103*EFEITO!$Y$103</f>
        <v>0</v>
      </c>
      <c r="K103" s="61">
        <f ca="1">EFEITO!$L$103*EFEITO!$Z$103</f>
        <v>50092.229790228841</v>
      </c>
      <c r="L103" s="61">
        <f>EFEITO!$N$103*EFEITO!$AA$103</f>
        <v>19796.168783837427</v>
      </c>
      <c r="M103" s="61">
        <f>$J$103-EFEITO!$K$103*EFEITO!$Y$103</f>
        <v>0</v>
      </c>
      <c r="N103" s="61">
        <f ca="1">$K$103-EFEITO!$M$103*EFEITO!$Z$103</f>
        <v>0</v>
      </c>
      <c r="O103" s="61">
        <f>$L$103-EFEITO!$O$103*EFEITO!$AA$103</f>
        <v>0</v>
      </c>
      <c r="P103" s="45"/>
      <c r="Q103" s="45"/>
      <c r="R103" s="45"/>
      <c r="S103" s="45"/>
      <c r="T103" s="45"/>
      <c r="U103" s="45"/>
      <c r="V103" s="45"/>
      <c r="W103" s="45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1.25" customHeight="1" x14ac:dyDescent="0.2">
      <c r="A104" s="41" t="s">
        <v>27</v>
      </c>
      <c r="B104" s="41" t="s">
        <v>28</v>
      </c>
      <c r="C104" s="41" t="s">
        <v>23</v>
      </c>
      <c r="D104" s="41" t="s">
        <v>30</v>
      </c>
      <c r="E104" s="41" t="s">
        <v>25</v>
      </c>
      <c r="F104" s="41" t="s">
        <v>25</v>
      </c>
      <c r="G104" s="41" t="s">
        <v>25</v>
      </c>
      <c r="H104" s="41" t="s">
        <v>25</v>
      </c>
      <c r="I104" s="60">
        <v>44682</v>
      </c>
      <c r="J104" s="61">
        <f>EFEITO!$J$104*EFEITO!$Y$104</f>
        <v>0</v>
      </c>
      <c r="K104" s="61">
        <f ca="1">EFEITO!$L$104*EFEITO!$Z$104</f>
        <v>5271.1777648469351</v>
      </c>
      <c r="L104" s="61">
        <f>EFEITO!$N$104*EFEITO!$AA$104</f>
        <v>2083.1399432507501</v>
      </c>
      <c r="M104" s="61">
        <f>$J$104-EFEITO!$K$104*EFEITO!$Y$104</f>
        <v>0</v>
      </c>
      <c r="N104" s="61">
        <f ca="1">$K$104-EFEITO!$M$104*EFEITO!$Z$104</f>
        <v>0</v>
      </c>
      <c r="O104" s="61">
        <f>$L$104-EFEITO!$O$104*EFEITO!$AA$104</f>
        <v>0</v>
      </c>
      <c r="P104" s="45"/>
      <c r="Q104" s="45"/>
      <c r="R104" s="45"/>
      <c r="S104" s="45"/>
      <c r="T104" s="45"/>
      <c r="U104" s="45"/>
      <c r="V104" s="45"/>
      <c r="W104" s="45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1.25" customHeight="1" x14ac:dyDescent="0.2">
      <c r="A105" s="41" t="s">
        <v>21</v>
      </c>
      <c r="B105" s="41" t="s">
        <v>28</v>
      </c>
      <c r="C105" s="41" t="s">
        <v>23</v>
      </c>
      <c r="D105" s="41" t="s">
        <v>30</v>
      </c>
      <c r="E105" s="41" t="s">
        <v>25</v>
      </c>
      <c r="F105" s="41" t="s">
        <v>25</v>
      </c>
      <c r="G105" s="41" t="s">
        <v>25</v>
      </c>
      <c r="H105" s="41" t="s">
        <v>25</v>
      </c>
      <c r="I105" s="60">
        <v>44713</v>
      </c>
      <c r="J105" s="61">
        <f>EFEITO!$J$105*EFEITO!$Y$105</f>
        <v>0</v>
      </c>
      <c r="K105" s="61">
        <f ca="1">EFEITO!$L$105*EFEITO!$Z$105</f>
        <v>50371.246392683846</v>
      </c>
      <c r="L105" s="61">
        <f>EFEITO!$N$105*EFEITO!$AA$105</f>
        <v>19906.434583120528</v>
      </c>
      <c r="M105" s="61">
        <f>$J$105-EFEITO!$K$105*EFEITO!$Y$105</f>
        <v>0</v>
      </c>
      <c r="N105" s="61">
        <f ca="1">$K$105-EFEITO!$M$105*EFEITO!$Z$105</f>
        <v>0</v>
      </c>
      <c r="O105" s="61">
        <f>$L$105-EFEITO!$O$105*EFEITO!$AA$105</f>
        <v>0</v>
      </c>
      <c r="P105" s="45"/>
      <c r="Q105" s="45"/>
      <c r="R105" s="45"/>
      <c r="S105" s="45"/>
      <c r="T105" s="45"/>
      <c r="U105" s="45"/>
      <c r="V105" s="45"/>
      <c r="W105" s="4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1.25" customHeight="1" x14ac:dyDescent="0.2">
      <c r="A106" s="41" t="s">
        <v>27</v>
      </c>
      <c r="B106" s="41" t="s">
        <v>28</v>
      </c>
      <c r="C106" s="41" t="s">
        <v>23</v>
      </c>
      <c r="D106" s="41" t="s">
        <v>30</v>
      </c>
      <c r="E106" s="41" t="s">
        <v>25</v>
      </c>
      <c r="F106" s="41" t="s">
        <v>25</v>
      </c>
      <c r="G106" s="41" t="s">
        <v>25</v>
      </c>
      <c r="H106" s="41" t="s">
        <v>25</v>
      </c>
      <c r="I106" s="60">
        <v>44713</v>
      </c>
      <c r="J106" s="61">
        <f>EFEITO!$J$106*EFEITO!$Y$106</f>
        <v>0</v>
      </c>
      <c r="K106" s="61">
        <f ca="1">EFEITO!$L$106*EFEITO!$Z$106</f>
        <v>4511.4165285452236</v>
      </c>
      <c r="L106" s="61">
        <f>EFEITO!$N$106*EFEITO!$AA$106</f>
        <v>1782.8865560042618</v>
      </c>
      <c r="M106" s="61">
        <f>$J$106-EFEITO!$K$106*EFEITO!$Y$106</f>
        <v>0</v>
      </c>
      <c r="N106" s="61">
        <f ca="1">$K$106-EFEITO!$M$106*EFEITO!$Z$106</f>
        <v>0</v>
      </c>
      <c r="O106" s="61">
        <f>$L$106-EFEITO!$O$106*EFEITO!$AA$106</f>
        <v>0</v>
      </c>
      <c r="P106" s="45"/>
      <c r="Q106" s="45"/>
      <c r="R106" s="45"/>
      <c r="S106" s="45"/>
      <c r="T106" s="45"/>
      <c r="U106" s="45"/>
      <c r="V106" s="45"/>
      <c r="W106" s="45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1.25" customHeight="1" x14ac:dyDescent="0.2">
      <c r="A107" s="41" t="s">
        <v>21</v>
      </c>
      <c r="B107" s="41" t="s">
        <v>28</v>
      </c>
      <c r="C107" s="41" t="s">
        <v>23</v>
      </c>
      <c r="D107" s="41" t="s">
        <v>30</v>
      </c>
      <c r="E107" s="41" t="s">
        <v>25</v>
      </c>
      <c r="F107" s="41" t="s">
        <v>25</v>
      </c>
      <c r="G107" s="41" t="s">
        <v>25</v>
      </c>
      <c r="H107" s="41" t="s">
        <v>25</v>
      </c>
      <c r="I107" s="60">
        <v>44743</v>
      </c>
      <c r="J107" s="61">
        <f>EFEITO!$J$107*EFEITO!$Y$107</f>
        <v>0</v>
      </c>
      <c r="K107" s="61">
        <f ca="1">EFEITO!$L$107*EFEITO!$Z$107</f>
        <v>47409.003926898418</v>
      </c>
      <c r="L107" s="61">
        <f>EFEITO!$N$107*EFEITO!$AA$107</f>
        <v>18735.772944041768</v>
      </c>
      <c r="M107" s="61">
        <f>$J$107-EFEITO!$K$107*EFEITO!$Y$107</f>
        <v>0</v>
      </c>
      <c r="N107" s="61">
        <f ca="1">$K$107-EFEITO!$M$107*EFEITO!$Z$107</f>
        <v>0</v>
      </c>
      <c r="O107" s="61">
        <f>$L$107-EFEITO!$O$107*EFEITO!$AA$107</f>
        <v>0</v>
      </c>
      <c r="P107" s="45"/>
      <c r="Q107" s="45"/>
      <c r="R107" s="45"/>
      <c r="S107" s="45"/>
      <c r="T107" s="45"/>
      <c r="U107" s="45"/>
      <c r="V107" s="45"/>
      <c r="W107" s="45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1.25" customHeight="1" x14ac:dyDescent="0.2">
      <c r="A108" s="41" t="s">
        <v>27</v>
      </c>
      <c r="B108" s="41" t="s">
        <v>28</v>
      </c>
      <c r="C108" s="41" t="s">
        <v>23</v>
      </c>
      <c r="D108" s="41" t="s">
        <v>30</v>
      </c>
      <c r="E108" s="41" t="s">
        <v>25</v>
      </c>
      <c r="F108" s="41" t="s">
        <v>25</v>
      </c>
      <c r="G108" s="41" t="s">
        <v>25</v>
      </c>
      <c r="H108" s="41" t="s">
        <v>25</v>
      </c>
      <c r="I108" s="60">
        <v>44743</v>
      </c>
      <c r="J108" s="61">
        <f>EFEITO!$J$108*EFEITO!$Y$108</f>
        <v>0</v>
      </c>
      <c r="K108" s="61">
        <f ca="1">EFEITO!$L$108*EFEITO!$Z$108</f>
        <v>4231.9138344483044</v>
      </c>
      <c r="L108" s="61">
        <f>EFEITO!$N$108*EFEITO!$AA$108</f>
        <v>1672.4286560255468</v>
      </c>
      <c r="M108" s="61">
        <f>$J$108-EFEITO!$K$108*EFEITO!$Y$108</f>
        <v>0</v>
      </c>
      <c r="N108" s="61">
        <f ca="1">$K$108-EFEITO!$M$108*EFEITO!$Z$108</f>
        <v>0</v>
      </c>
      <c r="O108" s="61">
        <f>$L$108-EFEITO!$O$108*EFEITO!$AA$108</f>
        <v>0</v>
      </c>
      <c r="P108" s="45"/>
      <c r="Q108" s="45"/>
      <c r="R108" s="45"/>
      <c r="S108" s="45"/>
      <c r="T108" s="45"/>
      <c r="U108" s="45"/>
      <c r="V108" s="45"/>
      <c r="W108" s="45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1.25" customHeight="1" x14ac:dyDescent="0.2">
      <c r="A109" s="41" t="s">
        <v>21</v>
      </c>
      <c r="B109" s="41" t="s">
        <v>28</v>
      </c>
      <c r="C109" s="41" t="s">
        <v>23</v>
      </c>
      <c r="D109" s="41" t="s">
        <v>30</v>
      </c>
      <c r="E109" s="41" t="s">
        <v>25</v>
      </c>
      <c r="F109" s="41" t="s">
        <v>25</v>
      </c>
      <c r="G109" s="41" t="s">
        <v>25</v>
      </c>
      <c r="H109" s="41" t="s">
        <v>25</v>
      </c>
      <c r="I109" s="60">
        <v>44774</v>
      </c>
      <c r="J109" s="61">
        <f>EFEITO!$J$109*EFEITO!$Y$109</f>
        <v>0</v>
      </c>
      <c r="K109" s="61">
        <f ca="1">EFEITO!$L$109*EFEITO!$Z$109</f>
        <v>49255.666074505709</v>
      </c>
      <c r="L109" s="61">
        <f>EFEITO!$N$109*EFEITO!$AA$109</f>
        <v>19465.563486683743</v>
      </c>
      <c r="M109" s="61">
        <f>$J$109-EFEITO!$K$109*EFEITO!$Y$109</f>
        <v>0</v>
      </c>
      <c r="N109" s="61">
        <f ca="1">$K$109-EFEITO!$M$109*EFEITO!$Z$109</f>
        <v>0</v>
      </c>
      <c r="O109" s="61">
        <f>$L$109-EFEITO!$O$109*EFEITO!$AA$109</f>
        <v>0</v>
      </c>
      <c r="P109" s="45"/>
      <c r="Q109" s="45"/>
      <c r="R109" s="45"/>
      <c r="S109" s="45"/>
      <c r="T109" s="45"/>
      <c r="U109" s="45"/>
      <c r="V109" s="45"/>
      <c r="W109" s="45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1.25" customHeight="1" x14ac:dyDescent="0.2">
      <c r="A110" s="41" t="s">
        <v>27</v>
      </c>
      <c r="B110" s="41" t="s">
        <v>28</v>
      </c>
      <c r="C110" s="41" t="s">
        <v>23</v>
      </c>
      <c r="D110" s="41" t="s">
        <v>30</v>
      </c>
      <c r="E110" s="41" t="s">
        <v>25</v>
      </c>
      <c r="F110" s="41" t="s">
        <v>25</v>
      </c>
      <c r="G110" s="41" t="s">
        <v>25</v>
      </c>
      <c r="H110" s="41" t="s">
        <v>25</v>
      </c>
      <c r="I110" s="60">
        <v>44774</v>
      </c>
      <c r="J110" s="61">
        <f>EFEITO!$J$110*EFEITO!$Y$110</f>
        <v>0</v>
      </c>
      <c r="K110" s="61">
        <f ca="1">EFEITO!$L$110*EFEITO!$Z$110</f>
        <v>4600.8573906562378</v>
      </c>
      <c r="L110" s="61">
        <f>EFEITO!$N$110*EFEITO!$AA$110</f>
        <v>1818.2330839974502</v>
      </c>
      <c r="M110" s="61">
        <f>$J$110-EFEITO!$K$110*EFEITO!$Y$110</f>
        <v>0</v>
      </c>
      <c r="N110" s="61">
        <f ca="1">$K$110-EFEITO!$M$110*EFEITO!$Z$110</f>
        <v>0</v>
      </c>
      <c r="O110" s="61">
        <f>$L$110-EFEITO!$O$110*EFEITO!$AA$110</f>
        <v>0</v>
      </c>
      <c r="P110" s="45"/>
      <c r="Q110" s="45"/>
      <c r="R110" s="45"/>
      <c r="S110" s="45"/>
      <c r="T110" s="45"/>
      <c r="U110" s="45"/>
      <c r="V110" s="45"/>
      <c r="W110" s="45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1.25" customHeight="1" x14ac:dyDescent="0.2">
      <c r="A111" s="41" t="s">
        <v>21</v>
      </c>
      <c r="B111" s="41" t="s">
        <v>28</v>
      </c>
      <c r="C111" s="41" t="s">
        <v>23</v>
      </c>
      <c r="D111" s="41" t="s">
        <v>30</v>
      </c>
      <c r="E111" s="41" t="s">
        <v>25</v>
      </c>
      <c r="F111" s="41" t="s">
        <v>25</v>
      </c>
      <c r="G111" s="41" t="s">
        <v>25</v>
      </c>
      <c r="H111" s="41" t="s">
        <v>25</v>
      </c>
      <c r="I111" s="60">
        <v>44805</v>
      </c>
      <c r="J111" s="61">
        <f>EFEITO!$J$111*EFEITO!$Y$111</f>
        <v>0</v>
      </c>
      <c r="K111" s="61">
        <f ca="1">EFEITO!$L$111*EFEITO!$Z$111</f>
        <v>51104.758680322542</v>
      </c>
      <c r="L111" s="61">
        <f>EFEITO!$N$111*EFEITO!$AA$111</f>
        <v>20196.314532803797</v>
      </c>
      <c r="M111" s="61">
        <f>$J$111-EFEITO!$K$111*EFEITO!$Y$111</f>
        <v>0</v>
      </c>
      <c r="N111" s="61">
        <f ca="1">$K$111-EFEITO!$M$111*EFEITO!$Z$111</f>
        <v>0</v>
      </c>
      <c r="O111" s="61">
        <f>$L$111-EFEITO!$O$111*EFEITO!$AA$111</f>
        <v>0</v>
      </c>
      <c r="P111" s="45"/>
      <c r="Q111" s="45"/>
      <c r="R111" s="45"/>
      <c r="S111" s="45"/>
      <c r="T111" s="45"/>
      <c r="U111" s="45"/>
      <c r="V111" s="45"/>
      <c r="W111" s="45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1.25" customHeight="1" x14ac:dyDescent="0.2">
      <c r="A112" s="41" t="s">
        <v>27</v>
      </c>
      <c r="B112" s="41" t="s">
        <v>28</v>
      </c>
      <c r="C112" s="41" t="s">
        <v>23</v>
      </c>
      <c r="D112" s="41" t="s">
        <v>30</v>
      </c>
      <c r="E112" s="41" t="s">
        <v>25</v>
      </c>
      <c r="F112" s="41" t="s">
        <v>25</v>
      </c>
      <c r="G112" s="41" t="s">
        <v>25</v>
      </c>
      <c r="H112" s="41" t="s">
        <v>25</v>
      </c>
      <c r="I112" s="60">
        <v>44805</v>
      </c>
      <c r="J112" s="61">
        <f>EFEITO!$J$112*EFEITO!$Y$112</f>
        <v>0</v>
      </c>
      <c r="K112" s="61">
        <f ca="1">EFEITO!$L$112*EFEITO!$Z$112</f>
        <v>5614.8445556756687</v>
      </c>
      <c r="L112" s="61">
        <f>EFEITO!$N$112*EFEITO!$AA$112</f>
        <v>2218.9551350506654</v>
      </c>
      <c r="M112" s="61">
        <f>$J$112-EFEITO!$K$112*EFEITO!$Y$112</f>
        <v>0</v>
      </c>
      <c r="N112" s="61">
        <f ca="1">$K$112-EFEITO!$M$112*EFEITO!$Z$112</f>
        <v>0</v>
      </c>
      <c r="O112" s="61">
        <f>$L$112-EFEITO!$O$112*EFEITO!$AA$112</f>
        <v>0</v>
      </c>
      <c r="P112" s="45"/>
      <c r="Q112" s="45"/>
      <c r="R112" s="45"/>
      <c r="S112" s="45"/>
      <c r="T112" s="45"/>
      <c r="U112" s="45"/>
      <c r="V112" s="45"/>
      <c r="W112" s="45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1.25" customHeight="1" x14ac:dyDescent="0.2">
      <c r="A113" s="41" t="s">
        <v>21</v>
      </c>
      <c r="B113" s="41" t="s">
        <v>28</v>
      </c>
      <c r="C113" s="41" t="s">
        <v>23</v>
      </c>
      <c r="D113" s="41" t="s">
        <v>30</v>
      </c>
      <c r="E113" s="41" t="s">
        <v>25</v>
      </c>
      <c r="F113" s="41" t="s">
        <v>25</v>
      </c>
      <c r="G113" s="41" t="s">
        <v>25</v>
      </c>
      <c r="H113" s="41" t="s">
        <v>25</v>
      </c>
      <c r="I113" s="60">
        <v>44835</v>
      </c>
      <c r="J113" s="61">
        <f>EFEITO!$J$113*EFEITO!$Y$113</f>
        <v>0</v>
      </c>
      <c r="K113" s="61">
        <f ca="1">EFEITO!$L$113*EFEITO!$Z$113</f>
        <v>50803.867953981688</v>
      </c>
      <c r="L113" s="61">
        <f>EFEITO!$N$113*EFEITO!$AA$113</f>
        <v>20077.404202218015</v>
      </c>
      <c r="M113" s="61">
        <f>$J$113-EFEITO!$K$113*EFEITO!$Y$113</f>
        <v>0</v>
      </c>
      <c r="N113" s="61">
        <f ca="1">$K$113-EFEITO!$M$113*EFEITO!$Z$113</f>
        <v>0</v>
      </c>
      <c r="O113" s="61">
        <f>$L$113-EFEITO!$O$113*EFEITO!$AA$113</f>
        <v>0</v>
      </c>
      <c r="P113" s="45"/>
      <c r="Q113" s="45"/>
      <c r="R113" s="45"/>
      <c r="S113" s="45"/>
      <c r="T113" s="45"/>
      <c r="U113" s="45"/>
      <c r="V113" s="45"/>
      <c r="W113" s="45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1.25" customHeight="1" x14ac:dyDescent="0.2">
      <c r="A114" s="41" t="s">
        <v>27</v>
      </c>
      <c r="B114" s="41" t="s">
        <v>28</v>
      </c>
      <c r="C114" s="41" t="s">
        <v>23</v>
      </c>
      <c r="D114" s="41" t="s">
        <v>30</v>
      </c>
      <c r="E114" s="41" t="s">
        <v>25</v>
      </c>
      <c r="F114" s="41" t="s">
        <v>25</v>
      </c>
      <c r="G114" s="41" t="s">
        <v>25</v>
      </c>
      <c r="H114" s="41" t="s">
        <v>25</v>
      </c>
      <c r="I114" s="60">
        <v>44835</v>
      </c>
      <c r="J114" s="61">
        <f>EFEITO!$J$114*EFEITO!$Y$114</f>
        <v>0</v>
      </c>
      <c r="K114" s="61">
        <f ca="1">EFEITO!$L$114*EFEITO!$Z$114</f>
        <v>23530.724201467212</v>
      </c>
      <c r="L114" s="61">
        <f>EFEITO!$N$114*EFEITO!$AA$114</f>
        <v>9299.2104733384658</v>
      </c>
      <c r="M114" s="61">
        <f>$J$114-EFEITO!$K$114*EFEITO!$Y$114</f>
        <v>0</v>
      </c>
      <c r="N114" s="61">
        <f ca="1">$K$114-EFEITO!$M$114*EFEITO!$Z$114</f>
        <v>0</v>
      </c>
      <c r="O114" s="61">
        <f>$L$114-EFEITO!$O$114*EFEITO!$AA$114</f>
        <v>0</v>
      </c>
      <c r="P114" s="45"/>
      <c r="Q114" s="45"/>
      <c r="R114" s="45"/>
      <c r="S114" s="45"/>
      <c r="T114" s="45"/>
      <c r="U114" s="45"/>
      <c r="V114" s="45"/>
      <c r="W114" s="45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1.25" customHeight="1" x14ac:dyDescent="0.2">
      <c r="A115" s="41" t="s">
        <v>21</v>
      </c>
      <c r="B115" s="41" t="s">
        <v>28</v>
      </c>
      <c r="C115" s="41" t="s">
        <v>23</v>
      </c>
      <c r="D115" s="41" t="s">
        <v>29</v>
      </c>
      <c r="E115" s="41" t="s">
        <v>25</v>
      </c>
      <c r="F115" s="41" t="s">
        <v>25</v>
      </c>
      <c r="G115" s="41" t="s">
        <v>25</v>
      </c>
      <c r="H115" s="41" t="s">
        <v>25</v>
      </c>
      <c r="I115" s="60">
        <v>44501</v>
      </c>
      <c r="J115" s="61">
        <f>EFEITO!$J$115*EFEITO!$Y$115</f>
        <v>0</v>
      </c>
      <c r="K115" s="61">
        <f ca="1">EFEITO!$L$115*EFEITO!$Z$115</f>
        <v>50498.116311221755</v>
      </c>
      <c r="L115" s="61">
        <f>EFEITO!$N$115*EFEITO!$AA$115</f>
        <v>19956.572864676084</v>
      </c>
      <c r="M115" s="61">
        <f>$J$115-EFEITO!$K$115*EFEITO!$Y$115</f>
        <v>0</v>
      </c>
      <c r="N115" s="61">
        <f ca="1">$K$115-EFEITO!$M$115*EFEITO!$Z$115</f>
        <v>0</v>
      </c>
      <c r="O115" s="61">
        <f>$L$115-EFEITO!$O$115*EFEITO!$AA$115</f>
        <v>0</v>
      </c>
      <c r="P115" s="45"/>
      <c r="Q115" s="45"/>
      <c r="R115" s="45"/>
      <c r="S115" s="45"/>
      <c r="T115" s="45"/>
      <c r="U115" s="45"/>
      <c r="V115" s="45"/>
      <c r="W115" s="45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1.25" customHeight="1" x14ac:dyDescent="0.2">
      <c r="A116" s="41" t="s">
        <v>27</v>
      </c>
      <c r="B116" s="41" t="s">
        <v>28</v>
      </c>
      <c r="C116" s="41" t="s">
        <v>23</v>
      </c>
      <c r="D116" s="41" t="s">
        <v>29</v>
      </c>
      <c r="E116" s="41" t="s">
        <v>25</v>
      </c>
      <c r="F116" s="41" t="s">
        <v>25</v>
      </c>
      <c r="G116" s="41" t="s">
        <v>25</v>
      </c>
      <c r="H116" s="41" t="s">
        <v>25</v>
      </c>
      <c r="I116" s="60">
        <v>44501</v>
      </c>
      <c r="J116" s="61">
        <f>EFEITO!$J$116*EFEITO!$Y$116</f>
        <v>0</v>
      </c>
      <c r="K116" s="61">
        <f ca="1">EFEITO!$L$116*EFEITO!$Z$116</f>
        <v>10291.532242469506</v>
      </c>
      <c r="L116" s="61">
        <f>EFEITO!$N$116*EFEITO!$AA$116</f>
        <v>4067.1559275640802</v>
      </c>
      <c r="M116" s="61">
        <f>$J$116-EFEITO!$K$116*EFEITO!$Y$116</f>
        <v>0</v>
      </c>
      <c r="N116" s="61">
        <f ca="1">$K$116-EFEITO!$M$116*EFEITO!$Z$116</f>
        <v>0</v>
      </c>
      <c r="O116" s="61">
        <f>$L$116-EFEITO!$O$116*EFEITO!$AA$116</f>
        <v>0</v>
      </c>
      <c r="P116" s="45"/>
      <c r="Q116" s="45"/>
      <c r="R116" s="45"/>
      <c r="S116" s="45"/>
      <c r="T116" s="45"/>
      <c r="U116" s="45"/>
      <c r="V116" s="45"/>
      <c r="W116" s="45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1.25" customHeight="1" x14ac:dyDescent="0.2">
      <c r="A117" s="41" t="s">
        <v>21</v>
      </c>
      <c r="B117" s="41" t="s">
        <v>28</v>
      </c>
      <c r="C117" s="41" t="s">
        <v>23</v>
      </c>
      <c r="D117" s="41" t="s">
        <v>29</v>
      </c>
      <c r="E117" s="41" t="s">
        <v>25</v>
      </c>
      <c r="F117" s="41" t="s">
        <v>25</v>
      </c>
      <c r="G117" s="41" t="s">
        <v>25</v>
      </c>
      <c r="H117" s="41" t="s">
        <v>25</v>
      </c>
      <c r="I117" s="60">
        <v>44531</v>
      </c>
      <c r="J117" s="61">
        <f>EFEITO!$J$117*EFEITO!$Y$117</f>
        <v>0</v>
      </c>
      <c r="K117" s="61">
        <f ca="1">EFEITO!$L$117*EFEITO!$Z$117</f>
        <v>51576.753664614909</v>
      </c>
      <c r="L117" s="61">
        <f>EFEITO!$N$117*EFEITO!$AA$117</f>
        <v>20382.844308246116</v>
      </c>
      <c r="M117" s="61">
        <f>$J$117-EFEITO!$K$117*EFEITO!$Y$117</f>
        <v>0</v>
      </c>
      <c r="N117" s="61">
        <f ca="1">$K$117-EFEITO!$M$117*EFEITO!$Z$117</f>
        <v>0</v>
      </c>
      <c r="O117" s="61">
        <f>$L$117-EFEITO!$O$117*EFEITO!$AA$117</f>
        <v>0</v>
      </c>
      <c r="P117" s="45"/>
      <c r="Q117" s="45"/>
      <c r="R117" s="45"/>
      <c r="S117" s="45"/>
      <c r="T117" s="45"/>
      <c r="U117" s="45"/>
      <c r="V117" s="45"/>
      <c r="W117" s="45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1.25" customHeight="1" x14ac:dyDescent="0.2">
      <c r="A118" s="41" t="s">
        <v>27</v>
      </c>
      <c r="B118" s="41" t="s">
        <v>28</v>
      </c>
      <c r="C118" s="41" t="s">
        <v>23</v>
      </c>
      <c r="D118" s="41" t="s">
        <v>29</v>
      </c>
      <c r="E118" s="41" t="s">
        <v>25</v>
      </c>
      <c r="F118" s="41" t="s">
        <v>25</v>
      </c>
      <c r="G118" s="41" t="s">
        <v>25</v>
      </c>
      <c r="H118" s="41" t="s">
        <v>25</v>
      </c>
      <c r="I118" s="60">
        <v>44531</v>
      </c>
      <c r="J118" s="61">
        <f>EFEITO!$J$118*EFEITO!$Y$118</f>
        <v>0</v>
      </c>
      <c r="K118" s="61">
        <f ca="1">EFEITO!$L$118*EFEITO!$Z$118</f>
        <v>10990.045931890849</v>
      </c>
      <c r="L118" s="61">
        <f>EFEITO!$N$118*EFEITO!$AA$118</f>
        <v>4343.2046271630597</v>
      </c>
      <c r="M118" s="61">
        <f>$J$118-EFEITO!$K$118*EFEITO!$Y$118</f>
        <v>0</v>
      </c>
      <c r="N118" s="61">
        <f ca="1">$K$118-EFEITO!$M$118*EFEITO!$Z$118</f>
        <v>0</v>
      </c>
      <c r="O118" s="61">
        <f>$L$118-EFEITO!$O$118*EFEITO!$AA$118</f>
        <v>0</v>
      </c>
      <c r="P118" s="45"/>
      <c r="Q118" s="45"/>
      <c r="R118" s="45"/>
      <c r="S118" s="45"/>
      <c r="T118" s="45"/>
      <c r="U118" s="45"/>
      <c r="V118" s="45"/>
      <c r="W118" s="45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1.25" customHeight="1" x14ac:dyDescent="0.2">
      <c r="A119" s="41" t="s">
        <v>21</v>
      </c>
      <c r="B119" s="41" t="s">
        <v>28</v>
      </c>
      <c r="C119" s="41" t="s">
        <v>23</v>
      </c>
      <c r="D119" s="41" t="s">
        <v>29</v>
      </c>
      <c r="E119" s="41" t="s">
        <v>25</v>
      </c>
      <c r="F119" s="41" t="s">
        <v>25</v>
      </c>
      <c r="G119" s="41" t="s">
        <v>25</v>
      </c>
      <c r="H119" s="41" t="s">
        <v>25</v>
      </c>
      <c r="I119" s="60">
        <v>44562</v>
      </c>
      <c r="J119" s="61">
        <f>EFEITO!$J$119*EFEITO!$Y$119</f>
        <v>0</v>
      </c>
      <c r="K119" s="61">
        <f ca="1">EFEITO!$L$119*EFEITO!$Z$119</f>
        <v>37490.303973772105</v>
      </c>
      <c r="L119" s="61">
        <f>EFEITO!$N$119*EFEITO!$AA$119</f>
        <v>14815.958250014513</v>
      </c>
      <c r="M119" s="61">
        <f>$J$119-EFEITO!$K$119*EFEITO!$Y$119</f>
        <v>0</v>
      </c>
      <c r="N119" s="61">
        <f ca="1">$K$119-EFEITO!$M$119*EFEITO!$Z$119</f>
        <v>0</v>
      </c>
      <c r="O119" s="61">
        <f>$L$119-EFEITO!$O$119*EFEITO!$AA$119</f>
        <v>0</v>
      </c>
      <c r="P119" s="45"/>
      <c r="Q119" s="45"/>
      <c r="R119" s="45"/>
      <c r="S119" s="45"/>
      <c r="T119" s="45"/>
      <c r="U119" s="45"/>
      <c r="V119" s="45"/>
      <c r="W119" s="45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1.25" customHeight="1" x14ac:dyDescent="0.2">
      <c r="A120" s="41" t="s">
        <v>27</v>
      </c>
      <c r="B120" s="41" t="s">
        <v>28</v>
      </c>
      <c r="C120" s="41" t="s">
        <v>23</v>
      </c>
      <c r="D120" s="41" t="s">
        <v>29</v>
      </c>
      <c r="E120" s="41" t="s">
        <v>25</v>
      </c>
      <c r="F120" s="41" t="s">
        <v>25</v>
      </c>
      <c r="G120" s="41" t="s">
        <v>25</v>
      </c>
      <c r="H120" s="41" t="s">
        <v>25</v>
      </c>
      <c r="I120" s="60">
        <v>44562</v>
      </c>
      <c r="J120" s="61">
        <f>EFEITO!$J$120*EFEITO!$Y$120</f>
        <v>0</v>
      </c>
      <c r="K120" s="61">
        <f ca="1">EFEITO!$L$120*EFEITO!$Z$120</f>
        <v>11336.143180929121</v>
      </c>
      <c r="L120" s="61">
        <f>EFEITO!$N$120*EFEITO!$AA$120</f>
        <v>4479.9803224410507</v>
      </c>
      <c r="M120" s="61">
        <f>$J$120-EFEITO!$K$120*EFEITO!$Y$120</f>
        <v>0</v>
      </c>
      <c r="N120" s="61">
        <f ca="1">$K$120-EFEITO!$M$120*EFEITO!$Z$120</f>
        <v>0</v>
      </c>
      <c r="O120" s="61">
        <f>$L$120-EFEITO!$O$120*EFEITO!$AA$120</f>
        <v>0</v>
      </c>
      <c r="P120" s="45"/>
      <c r="Q120" s="45"/>
      <c r="R120" s="45"/>
      <c r="S120" s="45"/>
      <c r="T120" s="45"/>
      <c r="U120" s="45"/>
      <c r="V120" s="45"/>
      <c r="W120" s="45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1.25" customHeight="1" x14ac:dyDescent="0.2">
      <c r="A121" s="41" t="s">
        <v>21</v>
      </c>
      <c r="B121" s="41" t="s">
        <v>28</v>
      </c>
      <c r="C121" s="41" t="s">
        <v>23</v>
      </c>
      <c r="D121" s="41" t="s">
        <v>29</v>
      </c>
      <c r="E121" s="41" t="s">
        <v>25</v>
      </c>
      <c r="F121" s="41" t="s">
        <v>25</v>
      </c>
      <c r="G121" s="41" t="s">
        <v>25</v>
      </c>
      <c r="H121" s="41" t="s">
        <v>25</v>
      </c>
      <c r="I121" s="60">
        <v>44593</v>
      </c>
      <c r="J121" s="61">
        <f>EFEITO!$J$121*EFEITO!$Y$121</f>
        <v>0</v>
      </c>
      <c r="K121" s="61">
        <f ca="1">EFEITO!$L$121*EFEITO!$Z$121</f>
        <v>47036.171637555221</v>
      </c>
      <c r="L121" s="61">
        <f>EFEITO!$N$121*EFEITO!$AA$121</f>
        <v>18588.431710504941</v>
      </c>
      <c r="M121" s="61">
        <f>$J$121-EFEITO!$K$121*EFEITO!$Y$121</f>
        <v>0</v>
      </c>
      <c r="N121" s="61">
        <f ca="1">$K$121-EFEITO!$M$121*EFEITO!$Z$121</f>
        <v>0</v>
      </c>
      <c r="O121" s="61">
        <f>$L$121-EFEITO!$O$121*EFEITO!$AA$121</f>
        <v>0</v>
      </c>
      <c r="P121" s="45"/>
      <c r="Q121" s="45"/>
      <c r="R121" s="45"/>
      <c r="S121" s="45"/>
      <c r="T121" s="45"/>
      <c r="U121" s="45"/>
      <c r="V121" s="45"/>
      <c r="W121" s="45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1.25" customHeight="1" x14ac:dyDescent="0.2">
      <c r="A122" s="41" t="s">
        <v>27</v>
      </c>
      <c r="B122" s="41" t="s">
        <v>28</v>
      </c>
      <c r="C122" s="41" t="s">
        <v>23</v>
      </c>
      <c r="D122" s="41" t="s">
        <v>29</v>
      </c>
      <c r="E122" s="41" t="s">
        <v>25</v>
      </c>
      <c r="F122" s="41" t="s">
        <v>25</v>
      </c>
      <c r="G122" s="41" t="s">
        <v>25</v>
      </c>
      <c r="H122" s="41" t="s">
        <v>25</v>
      </c>
      <c r="I122" s="60">
        <v>44593</v>
      </c>
      <c r="J122" s="61">
        <f>EFEITO!$J$122*EFEITO!$Y$122</f>
        <v>0</v>
      </c>
      <c r="K122" s="61">
        <f ca="1">EFEITO!$L$122*EFEITO!$Z$122</f>
        <v>11041.571645933063</v>
      </c>
      <c r="L122" s="61">
        <f>EFEITO!$N$122*EFEITO!$AA$122</f>
        <v>4363.5673008982658</v>
      </c>
      <c r="M122" s="61">
        <f>$J$122-EFEITO!$K$122*EFEITO!$Y$122</f>
        <v>0</v>
      </c>
      <c r="N122" s="61">
        <f ca="1">$K$122-EFEITO!$M$122*EFEITO!$Z$122</f>
        <v>0</v>
      </c>
      <c r="O122" s="61">
        <f>$L$122-EFEITO!$O$122*EFEITO!$AA$122</f>
        <v>0</v>
      </c>
      <c r="P122" s="45"/>
      <c r="Q122" s="45"/>
      <c r="R122" s="45"/>
      <c r="S122" s="45"/>
      <c r="T122" s="45"/>
      <c r="U122" s="45"/>
      <c r="V122" s="45"/>
      <c r="W122" s="45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1.25" customHeight="1" x14ac:dyDescent="0.2">
      <c r="A123" s="41" t="s">
        <v>21</v>
      </c>
      <c r="B123" s="41" t="s">
        <v>28</v>
      </c>
      <c r="C123" s="41" t="s">
        <v>23</v>
      </c>
      <c r="D123" s="41" t="s">
        <v>29</v>
      </c>
      <c r="E123" s="41" t="s">
        <v>25</v>
      </c>
      <c r="F123" s="41" t="s">
        <v>25</v>
      </c>
      <c r="G123" s="41" t="s">
        <v>25</v>
      </c>
      <c r="H123" s="41" t="s">
        <v>25</v>
      </c>
      <c r="I123" s="60">
        <v>44621</v>
      </c>
      <c r="J123" s="61">
        <f>EFEITO!$J$123*EFEITO!$Y$123</f>
        <v>0</v>
      </c>
      <c r="K123" s="61">
        <f ca="1">EFEITO!$L$123*EFEITO!$Z$123</f>
        <v>45974.547491628837</v>
      </c>
      <c r="L123" s="61">
        <f>EFEITO!$N$123*EFEITO!$AA$123</f>
        <v>18168.883791281442</v>
      </c>
      <c r="M123" s="61">
        <f>$J$123-EFEITO!$K$123*EFEITO!$Y$123</f>
        <v>0</v>
      </c>
      <c r="N123" s="61">
        <f ca="1">$K$123-EFEITO!$M$123*EFEITO!$Z$123</f>
        <v>0</v>
      </c>
      <c r="O123" s="61">
        <f>$L$123-EFEITO!$O$123*EFEITO!$AA$123</f>
        <v>0</v>
      </c>
      <c r="P123" s="45"/>
      <c r="Q123" s="45"/>
      <c r="R123" s="45"/>
      <c r="S123" s="45"/>
      <c r="T123" s="45"/>
      <c r="U123" s="45"/>
      <c r="V123" s="45"/>
      <c r="W123" s="45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1.25" customHeight="1" x14ac:dyDescent="0.2">
      <c r="A124" s="41" t="s">
        <v>27</v>
      </c>
      <c r="B124" s="41" t="s">
        <v>28</v>
      </c>
      <c r="C124" s="41" t="s">
        <v>23</v>
      </c>
      <c r="D124" s="41" t="s">
        <v>29</v>
      </c>
      <c r="E124" s="41" t="s">
        <v>25</v>
      </c>
      <c r="F124" s="41" t="s">
        <v>25</v>
      </c>
      <c r="G124" s="41" t="s">
        <v>25</v>
      </c>
      <c r="H124" s="41" t="s">
        <v>25</v>
      </c>
      <c r="I124" s="60">
        <v>44621</v>
      </c>
      <c r="J124" s="61">
        <f>EFEITO!$J$124*EFEITO!$Y$124</f>
        <v>0</v>
      </c>
      <c r="K124" s="61">
        <f ca="1">EFEITO!$L$124*EFEITO!$Z$124</f>
        <v>13358.770502906997</v>
      </c>
      <c r="L124" s="61">
        <f>EFEITO!$N$124*EFEITO!$AA$124</f>
        <v>5279.3113168957134</v>
      </c>
      <c r="M124" s="61">
        <f>$J$124-EFEITO!$K$124*EFEITO!$Y$124</f>
        <v>0</v>
      </c>
      <c r="N124" s="61">
        <f ca="1">$K$124-EFEITO!$M$124*EFEITO!$Z$124</f>
        <v>0</v>
      </c>
      <c r="O124" s="61">
        <f>$L$124-EFEITO!$O$124*EFEITO!$AA$124</f>
        <v>0</v>
      </c>
      <c r="P124" s="45"/>
      <c r="Q124" s="45"/>
      <c r="R124" s="45"/>
      <c r="S124" s="45"/>
      <c r="T124" s="45"/>
      <c r="U124" s="45"/>
      <c r="V124" s="45"/>
      <c r="W124" s="45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1.25" customHeight="1" x14ac:dyDescent="0.2">
      <c r="A125" s="41" t="s">
        <v>21</v>
      </c>
      <c r="B125" s="41" t="s">
        <v>28</v>
      </c>
      <c r="C125" s="41" t="s">
        <v>23</v>
      </c>
      <c r="D125" s="41" t="s">
        <v>29</v>
      </c>
      <c r="E125" s="41" t="s">
        <v>25</v>
      </c>
      <c r="F125" s="41" t="s">
        <v>25</v>
      </c>
      <c r="G125" s="41" t="s">
        <v>25</v>
      </c>
      <c r="H125" s="41" t="s">
        <v>25</v>
      </c>
      <c r="I125" s="60">
        <v>44652</v>
      </c>
      <c r="J125" s="61">
        <f>EFEITO!$J$125*EFEITO!$Y$125</f>
        <v>0</v>
      </c>
      <c r="K125" s="61">
        <f ca="1">EFEITO!$L$125*EFEITO!$Z$125</f>
        <v>46242.870077961881</v>
      </c>
      <c r="L125" s="61">
        <f>EFEITO!$N$125*EFEITO!$AA$125</f>
        <v>18274.923375261009</v>
      </c>
      <c r="M125" s="61">
        <f>$J$125-EFEITO!$K$125*EFEITO!$Y$125</f>
        <v>0</v>
      </c>
      <c r="N125" s="61">
        <f ca="1">$K$125-EFEITO!$M$125*EFEITO!$Z$125</f>
        <v>0</v>
      </c>
      <c r="O125" s="61">
        <f>$L$125-EFEITO!$O$125*EFEITO!$AA$125</f>
        <v>0</v>
      </c>
      <c r="P125" s="45"/>
      <c r="Q125" s="45"/>
      <c r="R125" s="45"/>
      <c r="S125" s="45"/>
      <c r="T125" s="45"/>
      <c r="U125" s="45"/>
      <c r="V125" s="45"/>
      <c r="W125" s="45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1.25" customHeight="1" x14ac:dyDescent="0.2">
      <c r="A126" s="41" t="s">
        <v>27</v>
      </c>
      <c r="B126" s="41" t="s">
        <v>28</v>
      </c>
      <c r="C126" s="41" t="s">
        <v>23</v>
      </c>
      <c r="D126" s="41" t="s">
        <v>29</v>
      </c>
      <c r="E126" s="41" t="s">
        <v>25</v>
      </c>
      <c r="F126" s="41" t="s">
        <v>25</v>
      </c>
      <c r="G126" s="41" t="s">
        <v>25</v>
      </c>
      <c r="H126" s="41" t="s">
        <v>25</v>
      </c>
      <c r="I126" s="60">
        <v>44652</v>
      </c>
      <c r="J126" s="61">
        <f>EFEITO!$J$126*EFEITO!$Y$126</f>
        <v>0</v>
      </c>
      <c r="K126" s="61">
        <f ca="1">EFEITO!$L$126*EFEITO!$Z$126</f>
        <v>12449.293040897719</v>
      </c>
      <c r="L126" s="61">
        <f>EFEITO!$N$126*EFEITO!$AA$126</f>
        <v>4919.8909153997574</v>
      </c>
      <c r="M126" s="61">
        <f>$J$126-EFEITO!$K$126*EFEITO!$Y$126</f>
        <v>0</v>
      </c>
      <c r="N126" s="61">
        <f ca="1">$K$126-EFEITO!$M$126*EFEITO!$Z$126</f>
        <v>0</v>
      </c>
      <c r="O126" s="61">
        <f>$L$126-EFEITO!$O$126*EFEITO!$AA$126</f>
        <v>0</v>
      </c>
      <c r="P126" s="45"/>
      <c r="Q126" s="45"/>
      <c r="R126" s="45"/>
      <c r="S126" s="45"/>
      <c r="T126" s="45"/>
      <c r="U126" s="45"/>
      <c r="V126" s="45"/>
      <c r="W126" s="45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1.25" customHeight="1" x14ac:dyDescent="0.2">
      <c r="A127" s="41" t="s">
        <v>21</v>
      </c>
      <c r="B127" s="41" t="s">
        <v>28</v>
      </c>
      <c r="C127" s="41" t="s">
        <v>23</v>
      </c>
      <c r="D127" s="41" t="s">
        <v>29</v>
      </c>
      <c r="E127" s="41" t="s">
        <v>25</v>
      </c>
      <c r="F127" s="41" t="s">
        <v>25</v>
      </c>
      <c r="G127" s="41" t="s">
        <v>25</v>
      </c>
      <c r="H127" s="41" t="s">
        <v>25</v>
      </c>
      <c r="I127" s="60">
        <v>44682</v>
      </c>
      <c r="J127" s="61">
        <f>EFEITO!$J$127*EFEITO!$Y$127</f>
        <v>0</v>
      </c>
      <c r="K127" s="61">
        <f ca="1">EFEITO!$L$127*EFEITO!$Z$127</f>
        <v>49356.773136022508</v>
      </c>
      <c r="L127" s="61">
        <f>EFEITO!$N$127*EFEITO!$AA$127</f>
        <v>19505.520431371697</v>
      </c>
      <c r="M127" s="61">
        <f>$J$127-EFEITO!$K$127*EFEITO!$Y$127</f>
        <v>0</v>
      </c>
      <c r="N127" s="61">
        <f ca="1">$K$127-EFEITO!$M$127*EFEITO!$Z$127</f>
        <v>0</v>
      </c>
      <c r="O127" s="61">
        <f>$L$127-EFEITO!$O$127*EFEITO!$AA$127</f>
        <v>0</v>
      </c>
      <c r="P127" s="45"/>
      <c r="Q127" s="45"/>
      <c r="R127" s="45"/>
      <c r="S127" s="45"/>
      <c r="T127" s="45"/>
      <c r="U127" s="45"/>
      <c r="V127" s="45"/>
      <c r="W127" s="45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1.25" customHeight="1" x14ac:dyDescent="0.2">
      <c r="A128" s="41" t="s">
        <v>27</v>
      </c>
      <c r="B128" s="41" t="s">
        <v>28</v>
      </c>
      <c r="C128" s="41" t="s">
        <v>23</v>
      </c>
      <c r="D128" s="41" t="s">
        <v>29</v>
      </c>
      <c r="E128" s="41" t="s">
        <v>25</v>
      </c>
      <c r="F128" s="41" t="s">
        <v>25</v>
      </c>
      <c r="G128" s="41" t="s">
        <v>25</v>
      </c>
      <c r="H128" s="41" t="s">
        <v>25</v>
      </c>
      <c r="I128" s="60">
        <v>44682</v>
      </c>
      <c r="J128" s="61">
        <f>EFEITO!$J$128*EFEITO!$Y$128</f>
        <v>0</v>
      </c>
      <c r="K128" s="61">
        <f ca="1">EFEITO!$L$128*EFEITO!$Z$128</f>
        <v>13953.746672602003</v>
      </c>
      <c r="L128" s="61">
        <f>EFEITO!$N$128*EFEITO!$AA$128</f>
        <v>5514.4425683286645</v>
      </c>
      <c r="M128" s="61">
        <f>$J$128-EFEITO!$K$128*EFEITO!$Y$128</f>
        <v>0</v>
      </c>
      <c r="N128" s="61">
        <f ca="1">$K$128-EFEITO!$M$128*EFEITO!$Z$128</f>
        <v>0</v>
      </c>
      <c r="O128" s="61">
        <f>$L$128-EFEITO!$O$128*EFEITO!$AA$128</f>
        <v>0</v>
      </c>
      <c r="P128" s="45"/>
      <c r="Q128" s="45"/>
      <c r="R128" s="45"/>
      <c r="S128" s="45"/>
      <c r="T128" s="45"/>
      <c r="U128" s="45"/>
      <c r="V128" s="45"/>
      <c r="W128" s="45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1.25" customHeight="1" x14ac:dyDescent="0.2">
      <c r="A129" s="41" t="s">
        <v>21</v>
      </c>
      <c r="B129" s="41" t="s">
        <v>28</v>
      </c>
      <c r="C129" s="41" t="s">
        <v>23</v>
      </c>
      <c r="D129" s="41" t="s">
        <v>29</v>
      </c>
      <c r="E129" s="41" t="s">
        <v>25</v>
      </c>
      <c r="F129" s="41" t="s">
        <v>25</v>
      </c>
      <c r="G129" s="41" t="s">
        <v>25</v>
      </c>
      <c r="H129" s="41" t="s">
        <v>25</v>
      </c>
      <c r="I129" s="60">
        <v>44713</v>
      </c>
      <c r="J129" s="61">
        <f>EFEITO!$J$129*EFEITO!$Y$129</f>
        <v>0</v>
      </c>
      <c r="K129" s="61">
        <f ca="1">EFEITO!$L$129*EFEITO!$Z$129</f>
        <v>51446.967196225552</v>
      </c>
      <c r="L129" s="61">
        <f>EFEITO!$N$129*EFEITO!$AA$129</f>
        <v>20331.553422516867</v>
      </c>
      <c r="M129" s="61">
        <f>$J$129-EFEITO!$K$129*EFEITO!$Y$129</f>
        <v>0</v>
      </c>
      <c r="N129" s="61">
        <f ca="1">$K$129-EFEITO!$M$129*EFEITO!$Z$129</f>
        <v>0</v>
      </c>
      <c r="O129" s="61">
        <f>$L$129-EFEITO!$O$129*EFEITO!$AA$129</f>
        <v>0</v>
      </c>
      <c r="P129" s="45"/>
      <c r="Q129" s="45"/>
      <c r="R129" s="45"/>
      <c r="S129" s="45"/>
      <c r="T129" s="45"/>
      <c r="U129" s="45"/>
      <c r="V129" s="45"/>
      <c r="W129" s="45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1.25" customHeight="1" x14ac:dyDescent="0.2">
      <c r="A130" s="41" t="s">
        <v>27</v>
      </c>
      <c r="B130" s="41" t="s">
        <v>28</v>
      </c>
      <c r="C130" s="41" t="s">
        <v>23</v>
      </c>
      <c r="D130" s="41" t="s">
        <v>29</v>
      </c>
      <c r="E130" s="41" t="s">
        <v>25</v>
      </c>
      <c r="F130" s="41" t="s">
        <v>25</v>
      </c>
      <c r="G130" s="41" t="s">
        <v>25</v>
      </c>
      <c r="H130" s="41" t="s">
        <v>25</v>
      </c>
      <c r="I130" s="60">
        <v>44713</v>
      </c>
      <c r="J130" s="61">
        <f>EFEITO!$J$130*EFEITO!$Y$130</f>
        <v>0</v>
      </c>
      <c r="K130" s="61">
        <f ca="1">EFEITO!$L$130*EFEITO!$Z$130</f>
        <v>11930.14716734031</v>
      </c>
      <c r="L130" s="61">
        <f>EFEITO!$N$130*EFEITO!$AA$130</f>
        <v>4714.7273724827701</v>
      </c>
      <c r="M130" s="61">
        <f>$J$130-EFEITO!$K$130*EFEITO!$Y$130</f>
        <v>0</v>
      </c>
      <c r="N130" s="61">
        <f ca="1">$K$130-EFEITO!$M$130*EFEITO!$Z$130</f>
        <v>0</v>
      </c>
      <c r="O130" s="61">
        <f>$L$130-EFEITO!$O$130*EFEITO!$AA$130</f>
        <v>0</v>
      </c>
      <c r="P130" s="45"/>
      <c r="Q130" s="45"/>
      <c r="R130" s="45"/>
      <c r="S130" s="45"/>
      <c r="T130" s="45"/>
      <c r="U130" s="45"/>
      <c r="V130" s="45"/>
      <c r="W130" s="45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1.25" customHeight="1" x14ac:dyDescent="0.2">
      <c r="A131" s="41" t="s">
        <v>21</v>
      </c>
      <c r="B131" s="41" t="s">
        <v>28</v>
      </c>
      <c r="C131" s="41" t="s">
        <v>23</v>
      </c>
      <c r="D131" s="41" t="s">
        <v>29</v>
      </c>
      <c r="E131" s="41" t="s">
        <v>25</v>
      </c>
      <c r="F131" s="41" t="s">
        <v>25</v>
      </c>
      <c r="G131" s="41" t="s">
        <v>25</v>
      </c>
      <c r="H131" s="41" t="s">
        <v>25</v>
      </c>
      <c r="I131" s="60">
        <v>44743</v>
      </c>
      <c r="J131" s="61">
        <f>EFEITO!$J$131*EFEITO!$Y$131</f>
        <v>0</v>
      </c>
      <c r="K131" s="61">
        <f ca="1">EFEITO!$L$131*EFEITO!$Z$131</f>
        <v>51110.105688383526</v>
      </c>
      <c r="L131" s="61">
        <f>EFEITO!$N$131*EFEITO!$AA$131</f>
        <v>20198.427640455564</v>
      </c>
      <c r="M131" s="61">
        <f>$J$131-EFEITO!$K$131*EFEITO!$Y$131</f>
        <v>0</v>
      </c>
      <c r="N131" s="61">
        <f ca="1">$K$131-EFEITO!$M$131*EFEITO!$Z$131</f>
        <v>0</v>
      </c>
      <c r="O131" s="61">
        <f>$L$131-EFEITO!$O$131*EFEITO!$AA$131</f>
        <v>0</v>
      </c>
      <c r="P131" s="45"/>
      <c r="Q131" s="45"/>
      <c r="R131" s="45"/>
      <c r="S131" s="45"/>
      <c r="T131" s="45"/>
      <c r="U131" s="45"/>
      <c r="V131" s="45"/>
      <c r="W131" s="45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1.25" customHeight="1" x14ac:dyDescent="0.2">
      <c r="A132" s="41" t="s">
        <v>27</v>
      </c>
      <c r="B132" s="41" t="s">
        <v>28</v>
      </c>
      <c r="C132" s="41" t="s">
        <v>23</v>
      </c>
      <c r="D132" s="41" t="s">
        <v>29</v>
      </c>
      <c r="E132" s="41" t="s">
        <v>25</v>
      </c>
      <c r="F132" s="41" t="s">
        <v>25</v>
      </c>
      <c r="G132" s="41" t="s">
        <v>25</v>
      </c>
      <c r="H132" s="41" t="s">
        <v>25</v>
      </c>
      <c r="I132" s="60">
        <v>44743</v>
      </c>
      <c r="J132" s="61">
        <f>EFEITO!$J$132*EFEITO!$Y$132</f>
        <v>0</v>
      </c>
      <c r="K132" s="61">
        <f ca="1">EFEITO!$L$132*EFEITO!$Z$132</f>
        <v>11161.150189842352</v>
      </c>
      <c r="L132" s="61">
        <f>EFEITO!$N$132*EFEITO!$AA$132</f>
        <v>4410.8240720195936</v>
      </c>
      <c r="M132" s="61">
        <f>$J$132-EFEITO!$K$132*EFEITO!$Y$132</f>
        <v>0</v>
      </c>
      <c r="N132" s="61">
        <f ca="1">$K$132-EFEITO!$M$132*EFEITO!$Z$132</f>
        <v>0</v>
      </c>
      <c r="O132" s="61">
        <f>$L$132-EFEITO!$O$132*EFEITO!$AA$132</f>
        <v>0</v>
      </c>
      <c r="P132" s="45"/>
      <c r="Q132" s="45"/>
      <c r="R132" s="45"/>
      <c r="S132" s="45"/>
      <c r="T132" s="45"/>
      <c r="U132" s="45"/>
      <c r="V132" s="45"/>
      <c r="W132" s="45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1.25" customHeight="1" x14ac:dyDescent="0.2">
      <c r="A133" s="41" t="s">
        <v>21</v>
      </c>
      <c r="B133" s="41" t="s">
        <v>28</v>
      </c>
      <c r="C133" s="41" t="s">
        <v>23</v>
      </c>
      <c r="D133" s="41" t="s">
        <v>29</v>
      </c>
      <c r="E133" s="41" t="s">
        <v>25</v>
      </c>
      <c r="F133" s="41" t="s">
        <v>25</v>
      </c>
      <c r="G133" s="41" t="s">
        <v>25</v>
      </c>
      <c r="H133" s="41" t="s">
        <v>25</v>
      </c>
      <c r="I133" s="60">
        <v>44774</v>
      </c>
      <c r="J133" s="61">
        <f>EFEITO!$J$133*EFEITO!$Y$133</f>
        <v>0</v>
      </c>
      <c r="K133" s="61">
        <f ca="1">EFEITO!$L$133*EFEITO!$Z$133</f>
        <v>54036.377372667797</v>
      </c>
      <c r="L133" s="61">
        <f>EFEITO!$N$133*EFEITO!$AA$133</f>
        <v>21354.873828058804</v>
      </c>
      <c r="M133" s="61">
        <f>$J$133-EFEITO!$K$133*EFEITO!$Y$133</f>
        <v>0</v>
      </c>
      <c r="N133" s="61">
        <f ca="1">$K$133-EFEITO!$M$133*EFEITO!$Z$133</f>
        <v>0</v>
      </c>
      <c r="O133" s="61">
        <f>$L$133-EFEITO!$O$133*EFEITO!$AA$133</f>
        <v>0</v>
      </c>
      <c r="P133" s="45"/>
      <c r="Q133" s="45"/>
      <c r="R133" s="45"/>
      <c r="S133" s="45"/>
      <c r="T133" s="45"/>
      <c r="U133" s="45"/>
      <c r="V133" s="45"/>
      <c r="W133" s="45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1.25" customHeight="1" x14ac:dyDescent="0.2">
      <c r="A134" s="41" t="s">
        <v>27</v>
      </c>
      <c r="B134" s="41" t="s">
        <v>28</v>
      </c>
      <c r="C134" s="41" t="s">
        <v>23</v>
      </c>
      <c r="D134" s="41" t="s">
        <v>29</v>
      </c>
      <c r="E134" s="41" t="s">
        <v>25</v>
      </c>
      <c r="F134" s="41" t="s">
        <v>25</v>
      </c>
      <c r="G134" s="41" t="s">
        <v>25</v>
      </c>
      <c r="H134" s="41" t="s">
        <v>25</v>
      </c>
      <c r="I134" s="60">
        <v>44774</v>
      </c>
      <c r="J134" s="61">
        <f>EFEITO!$J$134*EFEITO!$Y$134</f>
        <v>0</v>
      </c>
      <c r="K134" s="61">
        <f ca="1">EFEITO!$L$134*EFEITO!$Z$134</f>
        <v>11366.280862727395</v>
      </c>
      <c r="L134" s="61">
        <f>EFEITO!$N$134*EFEITO!$AA$134</f>
        <v>4491.8905655691897</v>
      </c>
      <c r="M134" s="61">
        <f>$J$134-EFEITO!$K$134*EFEITO!$Y$134</f>
        <v>0</v>
      </c>
      <c r="N134" s="61">
        <f ca="1">$K$134-EFEITO!$M$134*EFEITO!$Z$134</f>
        <v>0</v>
      </c>
      <c r="O134" s="61">
        <f>$L$134-EFEITO!$O$134*EFEITO!$AA$134</f>
        <v>0</v>
      </c>
      <c r="P134" s="45"/>
      <c r="Q134" s="45"/>
      <c r="R134" s="45"/>
      <c r="S134" s="45"/>
      <c r="T134" s="45"/>
      <c r="U134" s="45"/>
      <c r="V134" s="45"/>
      <c r="W134" s="45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1.25" customHeight="1" x14ac:dyDescent="0.2">
      <c r="A135" s="41" t="s">
        <v>21</v>
      </c>
      <c r="B135" s="41" t="s">
        <v>28</v>
      </c>
      <c r="C135" s="41" t="s">
        <v>23</v>
      </c>
      <c r="D135" s="41" t="s">
        <v>29</v>
      </c>
      <c r="E135" s="41" t="s">
        <v>25</v>
      </c>
      <c r="F135" s="41" t="s">
        <v>25</v>
      </c>
      <c r="G135" s="41" t="s">
        <v>25</v>
      </c>
      <c r="H135" s="41" t="s">
        <v>25</v>
      </c>
      <c r="I135" s="60">
        <v>44805</v>
      </c>
      <c r="J135" s="61">
        <f>EFEITO!$J$135*EFEITO!$Y$135</f>
        <v>0</v>
      </c>
      <c r="K135" s="61">
        <f ca="1">EFEITO!$L$135*EFEITO!$Z$135</f>
        <v>45417.48647000263</v>
      </c>
      <c r="L135" s="61">
        <f>EFEITO!$N$135*EFEITO!$AA$135</f>
        <v>17948.736394106472</v>
      </c>
      <c r="M135" s="61">
        <f>$J$135-EFEITO!$K$135*EFEITO!$Y$135</f>
        <v>0</v>
      </c>
      <c r="N135" s="61">
        <f ca="1">$K$135-EFEITO!$M$135*EFEITO!$Z$135</f>
        <v>0</v>
      </c>
      <c r="O135" s="61">
        <f>$L$135-EFEITO!$O$135*EFEITO!$AA$135</f>
        <v>0</v>
      </c>
      <c r="P135" s="45"/>
      <c r="Q135" s="45"/>
      <c r="R135" s="45"/>
      <c r="S135" s="45"/>
      <c r="T135" s="45"/>
      <c r="U135" s="45"/>
      <c r="V135" s="45"/>
      <c r="W135" s="45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1.25" customHeight="1" x14ac:dyDescent="0.2">
      <c r="A136" s="41" t="s">
        <v>27</v>
      </c>
      <c r="B136" s="41" t="s">
        <v>28</v>
      </c>
      <c r="C136" s="41" t="s">
        <v>23</v>
      </c>
      <c r="D136" s="41" t="s">
        <v>29</v>
      </c>
      <c r="E136" s="41" t="s">
        <v>25</v>
      </c>
      <c r="F136" s="41" t="s">
        <v>25</v>
      </c>
      <c r="G136" s="41" t="s">
        <v>25</v>
      </c>
      <c r="H136" s="41" t="s">
        <v>25</v>
      </c>
      <c r="I136" s="60">
        <v>44805</v>
      </c>
      <c r="J136" s="61">
        <f>EFEITO!$J$136*EFEITO!$Y$136</f>
        <v>0</v>
      </c>
      <c r="K136" s="61">
        <f ca="1">EFEITO!$L$136*EFEITO!$Z$136</f>
        <v>11480.998490217609</v>
      </c>
      <c r="L136" s="61">
        <f>EFEITO!$N$136*EFEITO!$AA$136</f>
        <v>4537.2263297343661</v>
      </c>
      <c r="M136" s="61">
        <f>$J$136-EFEITO!$K$136*EFEITO!$Y$136</f>
        <v>0</v>
      </c>
      <c r="N136" s="61">
        <f ca="1">$K$136-EFEITO!$M$136*EFEITO!$Z$136</f>
        <v>0</v>
      </c>
      <c r="O136" s="61">
        <f>$L$136-EFEITO!$O$136*EFEITO!$AA$136</f>
        <v>0</v>
      </c>
      <c r="P136" s="45"/>
      <c r="Q136" s="45"/>
      <c r="R136" s="45"/>
      <c r="S136" s="45"/>
      <c r="T136" s="45"/>
      <c r="U136" s="45"/>
      <c r="V136" s="45"/>
      <c r="W136" s="45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1.25" customHeight="1" x14ac:dyDescent="0.2">
      <c r="A137" s="41" t="s">
        <v>21</v>
      </c>
      <c r="B137" s="41" t="s">
        <v>28</v>
      </c>
      <c r="C137" s="41" t="s">
        <v>23</v>
      </c>
      <c r="D137" s="41" t="s">
        <v>29</v>
      </c>
      <c r="E137" s="41" t="s">
        <v>25</v>
      </c>
      <c r="F137" s="41" t="s">
        <v>25</v>
      </c>
      <c r="G137" s="41" t="s">
        <v>25</v>
      </c>
      <c r="H137" s="41" t="s">
        <v>25</v>
      </c>
      <c r="I137" s="60">
        <v>44835</v>
      </c>
      <c r="J137" s="61">
        <f>EFEITO!$J$137*EFEITO!$Y$137</f>
        <v>0</v>
      </c>
      <c r="K137" s="61">
        <f ca="1">EFEITO!$L$137*EFEITO!$Z$137</f>
        <v>52791.010586100303</v>
      </c>
      <c r="L137" s="61">
        <f>EFEITO!$N$137*EFEITO!$AA$137</f>
        <v>20862.711845892773</v>
      </c>
      <c r="M137" s="61">
        <f>$J$137-EFEITO!$K$137*EFEITO!$Y$137</f>
        <v>0</v>
      </c>
      <c r="N137" s="61">
        <f ca="1">$K$137-EFEITO!$M$137*EFEITO!$Z$137</f>
        <v>0</v>
      </c>
      <c r="O137" s="61">
        <f>$L$137-EFEITO!$O$137*EFEITO!$AA$137</f>
        <v>0</v>
      </c>
      <c r="P137" s="45"/>
      <c r="Q137" s="45"/>
      <c r="R137" s="45"/>
      <c r="S137" s="45"/>
      <c r="T137" s="45"/>
      <c r="U137" s="45"/>
      <c r="V137" s="45"/>
      <c r="W137" s="45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1.25" customHeight="1" x14ac:dyDescent="0.2">
      <c r="A138" s="41" t="s">
        <v>27</v>
      </c>
      <c r="B138" s="41" t="s">
        <v>28</v>
      </c>
      <c r="C138" s="41" t="s">
        <v>23</v>
      </c>
      <c r="D138" s="41" t="s">
        <v>29</v>
      </c>
      <c r="E138" s="41" t="s">
        <v>25</v>
      </c>
      <c r="F138" s="41" t="s">
        <v>25</v>
      </c>
      <c r="G138" s="41" t="s">
        <v>25</v>
      </c>
      <c r="H138" s="41" t="s">
        <v>25</v>
      </c>
      <c r="I138" s="60">
        <v>44835</v>
      </c>
      <c r="J138" s="61">
        <f>EFEITO!$J$138*EFEITO!$Y$138</f>
        <v>0</v>
      </c>
      <c r="K138" s="61">
        <f ca="1">EFEITO!$L$138*EFEITO!$Z$138</f>
        <v>11908.759135096372</v>
      </c>
      <c r="L138" s="61">
        <f>EFEITO!$N$138*EFEITO!$AA$138</f>
        <v>4706.274941875703</v>
      </c>
      <c r="M138" s="61">
        <f>$J$138-EFEITO!$K$138*EFEITO!$Y$138</f>
        <v>0</v>
      </c>
      <c r="N138" s="61">
        <f ca="1">$K$138-EFEITO!$M$138*EFEITO!$Z$138</f>
        <v>0</v>
      </c>
      <c r="O138" s="61">
        <f>$L$138-EFEITO!$O$138*EFEITO!$AA$138</f>
        <v>0</v>
      </c>
      <c r="P138" s="45"/>
      <c r="Q138" s="45"/>
      <c r="R138" s="45"/>
      <c r="S138" s="45"/>
      <c r="T138" s="45"/>
      <c r="U138" s="45"/>
      <c r="V138" s="45"/>
      <c r="W138" s="45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1.25" customHeight="1" x14ac:dyDescent="0.2">
      <c r="A139" s="41" t="s">
        <v>21</v>
      </c>
      <c r="B139" s="41" t="s">
        <v>28</v>
      </c>
      <c r="C139" s="41" t="s">
        <v>23</v>
      </c>
      <c r="D139" s="41" t="s">
        <v>33</v>
      </c>
      <c r="E139" s="41" t="s">
        <v>25</v>
      </c>
      <c r="F139" s="41" t="s">
        <v>25</v>
      </c>
      <c r="G139" s="41" t="s">
        <v>25</v>
      </c>
      <c r="H139" s="41" t="s">
        <v>25</v>
      </c>
      <c r="I139" s="60">
        <v>44501</v>
      </c>
      <c r="J139" s="61">
        <f>EFEITO!$J$139*EFEITO!$Y$139</f>
        <v>0</v>
      </c>
      <c r="K139" s="61">
        <f ca="1">EFEITO!$L$139*EFEITO!$Z$139</f>
        <v>13914.859341249388</v>
      </c>
      <c r="L139" s="61">
        <f>EFEITO!$N$139*EFEITO!$AA$139</f>
        <v>5499.0745126794518</v>
      </c>
      <c r="M139" s="61">
        <f>$J$139-EFEITO!$K$139*EFEITO!$Y$139</f>
        <v>0</v>
      </c>
      <c r="N139" s="61">
        <f ca="1">$K$139-EFEITO!$M$139*EFEITO!$Z$139</f>
        <v>0</v>
      </c>
      <c r="O139" s="61">
        <f>$L$139-EFEITO!$O$139*EFEITO!$AA$139</f>
        <v>0</v>
      </c>
      <c r="P139" s="45"/>
      <c r="Q139" s="45"/>
      <c r="R139" s="45"/>
      <c r="S139" s="45"/>
      <c r="T139" s="45"/>
      <c r="U139" s="45"/>
      <c r="V139" s="45"/>
      <c r="W139" s="45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1.25" customHeight="1" x14ac:dyDescent="0.2">
      <c r="A140" s="41" t="s">
        <v>21</v>
      </c>
      <c r="B140" s="41" t="s">
        <v>28</v>
      </c>
      <c r="C140" s="41" t="s">
        <v>23</v>
      </c>
      <c r="D140" s="41" t="s">
        <v>33</v>
      </c>
      <c r="E140" s="41" t="s">
        <v>25</v>
      </c>
      <c r="F140" s="41" t="s">
        <v>25</v>
      </c>
      <c r="G140" s="41" t="s">
        <v>25</v>
      </c>
      <c r="H140" s="41" t="s">
        <v>25</v>
      </c>
      <c r="I140" s="60">
        <v>44531</v>
      </c>
      <c r="J140" s="61">
        <f>EFEITO!$J$140*EFEITO!$Y$140</f>
        <v>0</v>
      </c>
      <c r="K140" s="61">
        <f ca="1">EFEITO!$L$140*EFEITO!$Z$140</f>
        <v>14970.650387472879</v>
      </c>
      <c r="L140" s="61">
        <f>EFEITO!$N$140*EFEITO!$AA$140</f>
        <v>5916.3172235555703</v>
      </c>
      <c r="M140" s="61">
        <f>$J$140-EFEITO!$K$140*EFEITO!$Y$140</f>
        <v>0</v>
      </c>
      <c r="N140" s="61">
        <f ca="1">$K$140-EFEITO!$M$140*EFEITO!$Z$140</f>
        <v>0</v>
      </c>
      <c r="O140" s="61">
        <f>$L$140-EFEITO!$O$140*EFEITO!$AA$140</f>
        <v>0</v>
      </c>
      <c r="P140" s="45"/>
      <c r="Q140" s="45"/>
      <c r="R140" s="45"/>
      <c r="S140" s="45"/>
      <c r="T140" s="45"/>
      <c r="U140" s="45"/>
      <c r="V140" s="45"/>
      <c r="W140" s="45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1.25" customHeight="1" x14ac:dyDescent="0.2">
      <c r="A141" s="41" t="s">
        <v>21</v>
      </c>
      <c r="B141" s="41" t="s">
        <v>28</v>
      </c>
      <c r="C141" s="41" t="s">
        <v>23</v>
      </c>
      <c r="D141" s="41" t="s">
        <v>33</v>
      </c>
      <c r="E141" s="41" t="s">
        <v>25</v>
      </c>
      <c r="F141" s="41" t="s">
        <v>25</v>
      </c>
      <c r="G141" s="41" t="s">
        <v>25</v>
      </c>
      <c r="H141" s="41" t="s">
        <v>25</v>
      </c>
      <c r="I141" s="60">
        <v>44562</v>
      </c>
      <c r="J141" s="61">
        <f>EFEITO!$J$141*EFEITO!$Y$141</f>
        <v>0</v>
      </c>
      <c r="K141" s="61">
        <f ca="1">EFEITO!$L$141*EFEITO!$Z$141</f>
        <v>12946.078698927371</v>
      </c>
      <c r="L141" s="61">
        <f>EFEITO!$N$141*EFEITO!$AA$141</f>
        <v>5116.217826318446</v>
      </c>
      <c r="M141" s="61">
        <f>$J$141-EFEITO!$K$141*EFEITO!$Y$141</f>
        <v>0</v>
      </c>
      <c r="N141" s="61">
        <f ca="1">$K$141-EFEITO!$M$141*EFEITO!$Z$141</f>
        <v>0</v>
      </c>
      <c r="O141" s="61">
        <f>$L$141-EFEITO!$O$141*EFEITO!$AA$141</f>
        <v>0</v>
      </c>
      <c r="P141" s="45"/>
      <c r="Q141" s="45"/>
      <c r="R141" s="45"/>
      <c r="S141" s="45"/>
      <c r="T141" s="45"/>
      <c r="U141" s="45"/>
      <c r="V141" s="45"/>
      <c r="W141" s="45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1.25" customHeight="1" x14ac:dyDescent="0.2">
      <c r="A142" s="41" t="s">
        <v>21</v>
      </c>
      <c r="B142" s="41" t="s">
        <v>28</v>
      </c>
      <c r="C142" s="41" t="s">
        <v>23</v>
      </c>
      <c r="D142" s="41" t="s">
        <v>33</v>
      </c>
      <c r="E142" s="41" t="s">
        <v>25</v>
      </c>
      <c r="F142" s="41" t="s">
        <v>25</v>
      </c>
      <c r="G142" s="41" t="s">
        <v>25</v>
      </c>
      <c r="H142" s="41" t="s">
        <v>25</v>
      </c>
      <c r="I142" s="60">
        <v>44593</v>
      </c>
      <c r="J142" s="61">
        <f>EFEITO!$J$142*EFEITO!$Y$142</f>
        <v>0</v>
      </c>
      <c r="K142" s="61">
        <f ca="1">EFEITO!$L$142*EFEITO!$Z$142</f>
        <v>13164.333846143923</v>
      </c>
      <c r="L142" s="61">
        <f>EFEITO!$N$142*EFEITO!$AA$142</f>
        <v>5202.4710386496517</v>
      </c>
      <c r="M142" s="61">
        <f>$J$142-EFEITO!$K$142*EFEITO!$Y$142</f>
        <v>0</v>
      </c>
      <c r="N142" s="61">
        <f ca="1">$K$142-EFEITO!$M$142*EFEITO!$Z$142</f>
        <v>0</v>
      </c>
      <c r="O142" s="61">
        <f>$L$142-EFEITO!$O$142*EFEITO!$AA$142</f>
        <v>0</v>
      </c>
      <c r="P142" s="45"/>
      <c r="Q142" s="45"/>
      <c r="R142" s="45"/>
      <c r="S142" s="45"/>
      <c r="T142" s="45"/>
      <c r="U142" s="45"/>
      <c r="V142" s="45"/>
      <c r="W142" s="45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1.25" customHeight="1" x14ac:dyDescent="0.2">
      <c r="A143" s="41" t="s">
        <v>21</v>
      </c>
      <c r="B143" s="41" t="s">
        <v>28</v>
      </c>
      <c r="C143" s="41" t="s">
        <v>23</v>
      </c>
      <c r="D143" s="41" t="s">
        <v>33</v>
      </c>
      <c r="E143" s="41" t="s">
        <v>25</v>
      </c>
      <c r="F143" s="41" t="s">
        <v>25</v>
      </c>
      <c r="G143" s="41" t="s">
        <v>25</v>
      </c>
      <c r="H143" s="41" t="s">
        <v>25</v>
      </c>
      <c r="I143" s="60">
        <v>44621</v>
      </c>
      <c r="J143" s="61">
        <f>EFEITO!$J$143*EFEITO!$Y$143</f>
        <v>0</v>
      </c>
      <c r="K143" s="61">
        <f ca="1">EFEITO!$L$143*EFEITO!$Z$143</f>
        <v>16216.017174040368</v>
      </c>
      <c r="L143" s="61">
        <f>EFEITO!$N$143*EFEITO!$AA$143</f>
        <v>6408.4792057216</v>
      </c>
      <c r="M143" s="61">
        <f>$J$143-EFEITO!$K$143*EFEITO!$Y$143</f>
        <v>0</v>
      </c>
      <c r="N143" s="61">
        <f ca="1">$K$143-EFEITO!$M$143*EFEITO!$Z$143</f>
        <v>0</v>
      </c>
      <c r="O143" s="61">
        <f>$L$143-EFEITO!$O$143*EFEITO!$AA$143</f>
        <v>0</v>
      </c>
      <c r="P143" s="45"/>
      <c r="Q143" s="45"/>
      <c r="R143" s="45"/>
      <c r="S143" s="45"/>
      <c r="T143" s="45"/>
      <c r="U143" s="45"/>
      <c r="V143" s="45"/>
      <c r="W143" s="45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1.25" customHeight="1" x14ac:dyDescent="0.2">
      <c r="A144" s="41" t="s">
        <v>21</v>
      </c>
      <c r="B144" s="41" t="s">
        <v>28</v>
      </c>
      <c r="C144" s="41" t="s">
        <v>23</v>
      </c>
      <c r="D144" s="41" t="s">
        <v>33</v>
      </c>
      <c r="E144" s="41" t="s">
        <v>25</v>
      </c>
      <c r="F144" s="41" t="s">
        <v>25</v>
      </c>
      <c r="G144" s="41" t="s">
        <v>25</v>
      </c>
      <c r="H144" s="41" t="s">
        <v>25</v>
      </c>
      <c r="I144" s="60">
        <v>44652</v>
      </c>
      <c r="J144" s="61">
        <f>EFEITO!$J$144*EFEITO!$Y$144</f>
        <v>0</v>
      </c>
      <c r="K144" s="61">
        <f ca="1">EFEITO!$L$144*EFEITO!$Z$144</f>
        <v>16760.439812976972</v>
      </c>
      <c r="L144" s="61">
        <f>EFEITO!$N$144*EFEITO!$AA$144</f>
        <v>6623.6319848105741</v>
      </c>
      <c r="M144" s="61">
        <f>$J$144-EFEITO!$K$144*EFEITO!$Y$144</f>
        <v>0</v>
      </c>
      <c r="N144" s="61">
        <f ca="1">$K$144-EFEITO!$M$144*EFEITO!$Z$144</f>
        <v>0</v>
      </c>
      <c r="O144" s="61">
        <f>$L$144-EFEITO!$O$144*EFEITO!$AA$144</f>
        <v>0</v>
      </c>
      <c r="P144" s="45"/>
      <c r="Q144" s="45"/>
      <c r="R144" s="45"/>
      <c r="S144" s="45"/>
      <c r="T144" s="45"/>
      <c r="U144" s="45"/>
      <c r="V144" s="45"/>
      <c r="W144" s="45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1.25" customHeight="1" x14ac:dyDescent="0.2">
      <c r="A145" s="41" t="s">
        <v>21</v>
      </c>
      <c r="B145" s="41" t="s">
        <v>28</v>
      </c>
      <c r="C145" s="41" t="s">
        <v>23</v>
      </c>
      <c r="D145" s="41" t="s">
        <v>33</v>
      </c>
      <c r="E145" s="41" t="s">
        <v>25</v>
      </c>
      <c r="F145" s="41" t="s">
        <v>25</v>
      </c>
      <c r="G145" s="41" t="s">
        <v>25</v>
      </c>
      <c r="H145" s="41" t="s">
        <v>25</v>
      </c>
      <c r="I145" s="60">
        <v>44682</v>
      </c>
      <c r="J145" s="61">
        <f>EFEITO!$J$145*EFEITO!$Y$145</f>
        <v>0</v>
      </c>
      <c r="K145" s="61">
        <f ca="1">EFEITO!$L$145*EFEITO!$Z$145</f>
        <v>13961.524138872526</v>
      </c>
      <c r="L145" s="61">
        <f>EFEITO!$N$145*EFEITO!$AA$145</f>
        <v>5517.5161794585074</v>
      </c>
      <c r="M145" s="61">
        <f>$J$145-EFEITO!$K$145*EFEITO!$Y$145</f>
        <v>0</v>
      </c>
      <c r="N145" s="61">
        <f ca="1">$K$145-EFEITO!$M$145*EFEITO!$Z$145</f>
        <v>0</v>
      </c>
      <c r="O145" s="61">
        <f>$L$145-EFEITO!$O$145*EFEITO!$AA$145</f>
        <v>0</v>
      </c>
      <c r="P145" s="45"/>
      <c r="Q145" s="45"/>
      <c r="R145" s="45"/>
      <c r="S145" s="45"/>
      <c r="T145" s="45"/>
      <c r="U145" s="45"/>
      <c r="V145" s="45"/>
      <c r="W145" s="45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1.25" customHeight="1" x14ac:dyDescent="0.2">
      <c r="A146" s="41" t="s">
        <v>21</v>
      </c>
      <c r="B146" s="41" t="s">
        <v>28</v>
      </c>
      <c r="C146" s="41" t="s">
        <v>23</v>
      </c>
      <c r="D146" s="41" t="s">
        <v>33</v>
      </c>
      <c r="E146" s="41" t="s">
        <v>25</v>
      </c>
      <c r="F146" s="41" t="s">
        <v>25</v>
      </c>
      <c r="G146" s="41" t="s">
        <v>25</v>
      </c>
      <c r="H146" s="41" t="s">
        <v>25</v>
      </c>
      <c r="I146" s="60">
        <v>44713</v>
      </c>
      <c r="J146" s="61">
        <f>EFEITO!$J$146*EFEITO!$Y$146</f>
        <v>0</v>
      </c>
      <c r="K146" s="61">
        <f ca="1">EFEITO!$L$146*EFEITO!$Z$146</f>
        <v>13816.182737942127</v>
      </c>
      <c r="L146" s="61">
        <f>EFEITO!$N$146*EFEITO!$AA$146</f>
        <v>5460.0780714695748</v>
      </c>
      <c r="M146" s="61">
        <f>$J$146-EFEITO!$K$146*EFEITO!$Y$146</f>
        <v>0</v>
      </c>
      <c r="N146" s="61">
        <f ca="1">$K$146-EFEITO!$M$146*EFEITO!$Z$146</f>
        <v>0</v>
      </c>
      <c r="O146" s="61">
        <f>$L$146-EFEITO!$O$146*EFEITO!$AA$146</f>
        <v>0</v>
      </c>
      <c r="P146" s="45"/>
      <c r="Q146" s="45"/>
      <c r="R146" s="45"/>
      <c r="S146" s="45"/>
      <c r="T146" s="45"/>
      <c r="U146" s="45"/>
      <c r="V146" s="45"/>
      <c r="W146" s="45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1.25" customHeight="1" x14ac:dyDescent="0.2">
      <c r="A147" s="41" t="s">
        <v>21</v>
      </c>
      <c r="B147" s="41" t="s">
        <v>28</v>
      </c>
      <c r="C147" s="41" t="s">
        <v>23</v>
      </c>
      <c r="D147" s="41" t="s">
        <v>33</v>
      </c>
      <c r="E147" s="41" t="s">
        <v>25</v>
      </c>
      <c r="F147" s="41" t="s">
        <v>25</v>
      </c>
      <c r="G147" s="41" t="s">
        <v>25</v>
      </c>
      <c r="H147" s="41" t="s">
        <v>25</v>
      </c>
      <c r="I147" s="60">
        <v>44743</v>
      </c>
      <c r="J147" s="61">
        <f>EFEITO!$J$147*EFEITO!$Y$147</f>
        <v>0</v>
      </c>
      <c r="K147" s="61">
        <f ca="1">EFEITO!$L$147*EFEITO!$Z$147</f>
        <v>15317.233728153058</v>
      </c>
      <c r="L147" s="61">
        <f>EFEITO!$N$147*EFEITO!$AA$147</f>
        <v>6053.2850195291767</v>
      </c>
      <c r="M147" s="61">
        <f>$J$147-EFEITO!$K$147*EFEITO!$Y$147</f>
        <v>0</v>
      </c>
      <c r="N147" s="61">
        <f ca="1">$K$147-EFEITO!$M$147*EFEITO!$Z$147</f>
        <v>0</v>
      </c>
      <c r="O147" s="61">
        <f>$L$147-EFEITO!$O$147*EFEITO!$AA$147</f>
        <v>0</v>
      </c>
      <c r="P147" s="45"/>
      <c r="Q147" s="45"/>
      <c r="R147" s="45"/>
      <c r="S147" s="45"/>
      <c r="T147" s="45"/>
      <c r="U147" s="45"/>
      <c r="V147" s="45"/>
      <c r="W147" s="45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1.25" customHeight="1" x14ac:dyDescent="0.2">
      <c r="A148" s="41" t="s">
        <v>21</v>
      </c>
      <c r="B148" s="41" t="s">
        <v>28</v>
      </c>
      <c r="C148" s="41" t="s">
        <v>23</v>
      </c>
      <c r="D148" s="41" t="s">
        <v>33</v>
      </c>
      <c r="E148" s="41" t="s">
        <v>25</v>
      </c>
      <c r="F148" s="41" t="s">
        <v>25</v>
      </c>
      <c r="G148" s="41" t="s">
        <v>25</v>
      </c>
      <c r="H148" s="41" t="s">
        <v>25</v>
      </c>
      <c r="I148" s="60">
        <v>44774</v>
      </c>
      <c r="J148" s="61">
        <f>EFEITO!$J$148*EFEITO!$Y$148</f>
        <v>0</v>
      </c>
      <c r="K148" s="61">
        <f ca="1">EFEITO!$L$148*EFEITO!$Z$148</f>
        <v>13485.154329802996</v>
      </c>
      <c r="L148" s="61">
        <f>EFEITO!$N$148*EFEITO!$AA$148</f>
        <v>5329.2574977556542</v>
      </c>
      <c r="M148" s="61">
        <f>$J$148-EFEITO!$K$148*EFEITO!$Y$148</f>
        <v>0</v>
      </c>
      <c r="N148" s="61">
        <f ca="1">$K$148-EFEITO!$M$148*EFEITO!$Z$148</f>
        <v>0</v>
      </c>
      <c r="O148" s="61">
        <f>$L$148-EFEITO!$O$148*EFEITO!$AA$148</f>
        <v>0</v>
      </c>
      <c r="P148" s="45"/>
      <c r="Q148" s="45"/>
      <c r="R148" s="45"/>
      <c r="S148" s="45"/>
      <c r="T148" s="45"/>
      <c r="U148" s="45"/>
      <c r="V148" s="45"/>
      <c r="W148" s="45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1.25" customHeight="1" x14ac:dyDescent="0.2">
      <c r="A149" s="41" t="s">
        <v>21</v>
      </c>
      <c r="B149" s="41" t="s">
        <v>28</v>
      </c>
      <c r="C149" s="41" t="s">
        <v>23</v>
      </c>
      <c r="D149" s="41" t="s">
        <v>33</v>
      </c>
      <c r="E149" s="41" t="s">
        <v>25</v>
      </c>
      <c r="F149" s="41" t="s">
        <v>25</v>
      </c>
      <c r="G149" s="41" t="s">
        <v>25</v>
      </c>
      <c r="H149" s="41" t="s">
        <v>25</v>
      </c>
      <c r="I149" s="60">
        <v>44805</v>
      </c>
      <c r="J149" s="61">
        <f>EFEITO!$J$149*EFEITO!$Y$149</f>
        <v>0</v>
      </c>
      <c r="K149" s="61">
        <f ca="1">EFEITO!$L$149*EFEITO!$Z$149</f>
        <v>15382.370008168689</v>
      </c>
      <c r="L149" s="61">
        <f>EFEITO!$N$149*EFEITO!$AA$149</f>
        <v>6079.0265127416078</v>
      </c>
      <c r="M149" s="61">
        <f>$J$149-EFEITO!$K$149*EFEITO!$Y$149</f>
        <v>0</v>
      </c>
      <c r="N149" s="61">
        <f ca="1">$K$149-EFEITO!$M$149*EFEITO!$Z$149</f>
        <v>0</v>
      </c>
      <c r="O149" s="61">
        <f>$L$149-EFEITO!$O$149*EFEITO!$AA$149</f>
        <v>0</v>
      </c>
      <c r="P149" s="45"/>
      <c r="Q149" s="45"/>
      <c r="R149" s="45"/>
      <c r="S149" s="45"/>
      <c r="T149" s="45"/>
      <c r="U149" s="45"/>
      <c r="V149" s="45"/>
      <c r="W149" s="45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1.25" customHeight="1" x14ac:dyDescent="0.2">
      <c r="A150" s="41" t="s">
        <v>21</v>
      </c>
      <c r="B150" s="41" t="s">
        <v>28</v>
      </c>
      <c r="C150" s="41" t="s">
        <v>23</v>
      </c>
      <c r="D150" s="41" t="s">
        <v>33</v>
      </c>
      <c r="E150" s="41" t="s">
        <v>25</v>
      </c>
      <c r="F150" s="41" t="s">
        <v>25</v>
      </c>
      <c r="G150" s="41" t="s">
        <v>25</v>
      </c>
      <c r="H150" s="41" t="s">
        <v>25</v>
      </c>
      <c r="I150" s="60">
        <v>44835</v>
      </c>
      <c r="J150" s="61">
        <f>EFEITO!$J$150*EFEITO!$Y$150</f>
        <v>0</v>
      </c>
      <c r="K150" s="61">
        <f ca="1">EFEITO!$L$150*EFEITO!$Z$150</f>
        <v>14394.145700170364</v>
      </c>
      <c r="L150" s="61">
        <f>EFEITO!$N$150*EFEITO!$AA$150</f>
        <v>5688.4857985559956</v>
      </c>
      <c r="M150" s="61">
        <f>$J$150-EFEITO!$K$150*EFEITO!$Y$150</f>
        <v>0</v>
      </c>
      <c r="N150" s="61">
        <f ca="1">$K$150-EFEITO!$M$150*EFEITO!$Z$150</f>
        <v>0</v>
      </c>
      <c r="O150" s="61">
        <f>$L$150-EFEITO!$O$150*EFEITO!$AA$150</f>
        <v>0</v>
      </c>
      <c r="P150" s="45"/>
      <c r="Q150" s="45"/>
      <c r="R150" s="45"/>
      <c r="S150" s="45"/>
      <c r="T150" s="45"/>
      <c r="U150" s="45"/>
      <c r="V150" s="45"/>
      <c r="W150" s="45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1.25" customHeight="1" x14ac:dyDescent="0.2">
      <c r="A151" s="41" t="s">
        <v>21</v>
      </c>
      <c r="B151" s="41" t="s">
        <v>28</v>
      </c>
      <c r="C151" s="41" t="s">
        <v>23</v>
      </c>
      <c r="D151" s="41" t="s">
        <v>37</v>
      </c>
      <c r="E151" s="41" t="s">
        <v>38</v>
      </c>
      <c r="F151" s="41" t="s">
        <v>25</v>
      </c>
      <c r="G151" s="41" t="s">
        <v>25</v>
      </c>
      <c r="H151" s="41" t="s">
        <v>25</v>
      </c>
      <c r="I151" s="60">
        <v>44501</v>
      </c>
      <c r="J151" s="61">
        <f>EFEITO!$J$151*EFEITO!$Y$150</f>
        <v>0</v>
      </c>
      <c r="K151" s="61">
        <f ca="1">EFEITO!$L$151*EFEITO!$Z$150</f>
        <v>470.53670936663895</v>
      </c>
      <c r="L151" s="61">
        <f>EFEITO!$N$151*EFEITO!$AA$150</f>
        <v>185.95347335547089</v>
      </c>
      <c r="M151" s="61">
        <f>$J$151-EFEITO!$K$151*EFEITO!$Y$151</f>
        <v>0</v>
      </c>
      <c r="N151" s="61">
        <f ca="1">$K$151-EFEITO!$M$151*EFEITO!$Z$151</f>
        <v>14.116101280999146</v>
      </c>
      <c r="O151" s="61">
        <f>$L$151-EFEITO!$O$151*EFEITO!$AA$151</f>
        <v>5.578604200664131</v>
      </c>
      <c r="P151" s="45"/>
      <c r="Q151" s="45"/>
      <c r="R151" s="45"/>
      <c r="S151" s="45"/>
      <c r="T151" s="45"/>
      <c r="U151" s="45"/>
      <c r="V151" s="45"/>
      <c r="W151" s="45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1.25" customHeight="1" x14ac:dyDescent="0.2">
      <c r="A152" s="41" t="s">
        <v>21</v>
      </c>
      <c r="B152" s="41" t="s">
        <v>28</v>
      </c>
      <c r="C152" s="41" t="s">
        <v>23</v>
      </c>
      <c r="D152" s="41" t="s">
        <v>37</v>
      </c>
      <c r="E152" s="41" t="s">
        <v>38</v>
      </c>
      <c r="F152" s="41" t="s">
        <v>25</v>
      </c>
      <c r="G152" s="41" t="s">
        <v>25</v>
      </c>
      <c r="H152" s="41" t="s">
        <v>25</v>
      </c>
      <c r="I152" s="60">
        <v>44531</v>
      </c>
      <c r="J152" s="61">
        <f>EFEITO!$J$152*EFEITO!$Y$150</f>
        <v>0</v>
      </c>
      <c r="K152" s="61">
        <f ca="1">EFEITO!$L$152*EFEITO!$Z$150</f>
        <v>497.75784131346933</v>
      </c>
      <c r="L152" s="61">
        <f>EFEITO!$N$152*EFEITO!$AA$150</f>
        <v>196.71111230991963</v>
      </c>
      <c r="M152" s="61">
        <f>$J$152-EFEITO!$K$152*EFEITO!$Y$152</f>
        <v>0</v>
      </c>
      <c r="N152" s="61">
        <f ca="1">$K$152-EFEITO!$M$152*EFEITO!$Z$152</f>
        <v>14.932735239404053</v>
      </c>
      <c r="O152" s="61">
        <f>$L$152-EFEITO!$O$152*EFEITO!$AA$152</f>
        <v>5.9013333692975891</v>
      </c>
      <c r="P152" s="45"/>
      <c r="Q152" s="45"/>
      <c r="R152" s="45"/>
      <c r="S152" s="45"/>
      <c r="T152" s="45"/>
      <c r="U152" s="45"/>
      <c r="V152" s="45"/>
      <c r="W152" s="45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1.25" customHeight="1" x14ac:dyDescent="0.2">
      <c r="A153" s="41" t="s">
        <v>21</v>
      </c>
      <c r="B153" s="41" t="s">
        <v>28</v>
      </c>
      <c r="C153" s="41" t="s">
        <v>23</v>
      </c>
      <c r="D153" s="41" t="s">
        <v>37</v>
      </c>
      <c r="E153" s="41" t="s">
        <v>38</v>
      </c>
      <c r="F153" s="41" t="s">
        <v>25</v>
      </c>
      <c r="G153" s="41" t="s">
        <v>25</v>
      </c>
      <c r="H153" s="41" t="s">
        <v>25</v>
      </c>
      <c r="I153" s="60">
        <v>44562</v>
      </c>
      <c r="J153" s="61">
        <f>EFEITO!$J$153*EFEITO!$Y$150</f>
        <v>0</v>
      </c>
      <c r="K153" s="61">
        <f ca="1">EFEITO!$L$153*EFEITO!$Z$150</f>
        <v>532.27034788891501</v>
      </c>
      <c r="L153" s="61">
        <f>EFEITO!$N$153*EFEITO!$AA$150</f>
        <v>210.35026169859569</v>
      </c>
      <c r="M153" s="61">
        <f>$J$153-EFEITO!$K$153*EFEITO!$Y$153</f>
        <v>0</v>
      </c>
      <c r="N153" s="61">
        <f ca="1">$K$153-EFEITO!$M$153*EFEITO!$Z$153</f>
        <v>15.96811043666753</v>
      </c>
      <c r="O153" s="61">
        <f>$L$153-EFEITO!$O$153*EFEITO!$AA$153</f>
        <v>6.3105078509578902</v>
      </c>
      <c r="P153" s="45"/>
      <c r="Q153" s="45"/>
      <c r="R153" s="45"/>
      <c r="S153" s="45"/>
      <c r="T153" s="45"/>
      <c r="U153" s="45"/>
      <c r="V153" s="45"/>
      <c r="W153" s="45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1.25" customHeight="1" x14ac:dyDescent="0.2">
      <c r="A154" s="41" t="s">
        <v>21</v>
      </c>
      <c r="B154" s="41" t="s">
        <v>28</v>
      </c>
      <c r="C154" s="41" t="s">
        <v>23</v>
      </c>
      <c r="D154" s="41" t="s">
        <v>37</v>
      </c>
      <c r="E154" s="41" t="s">
        <v>38</v>
      </c>
      <c r="F154" s="41" t="s">
        <v>25</v>
      </c>
      <c r="G154" s="41" t="s">
        <v>25</v>
      </c>
      <c r="H154" s="41" t="s">
        <v>25</v>
      </c>
      <c r="I154" s="60">
        <v>44593</v>
      </c>
      <c r="J154" s="61">
        <f>EFEITO!$J$154*EFEITO!$Y$150</f>
        <v>0</v>
      </c>
      <c r="K154" s="61">
        <f ca="1">EFEITO!$L$154*EFEITO!$Z$150</f>
        <v>465.18970130565441</v>
      </c>
      <c r="L154" s="61">
        <f>EFEITO!$N$154*EFEITO!$AA$150</f>
        <v>183.84036570370415</v>
      </c>
      <c r="M154" s="61">
        <f>$J$154-EFEITO!$K$154*EFEITO!$Y$154</f>
        <v>0</v>
      </c>
      <c r="N154" s="61">
        <f ca="1">$K$154-EFEITO!$M$154*EFEITO!$Z$154</f>
        <v>13.955691039169608</v>
      </c>
      <c r="O154" s="61">
        <f>$L$154-EFEITO!$O$154*EFEITO!$AA$154</f>
        <v>5.5152109711111166</v>
      </c>
      <c r="P154" s="45"/>
      <c r="Q154" s="45"/>
      <c r="R154" s="45"/>
      <c r="S154" s="45"/>
      <c r="T154" s="45"/>
      <c r="U154" s="45"/>
      <c r="V154" s="45"/>
      <c r="W154" s="45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1.25" customHeight="1" x14ac:dyDescent="0.2">
      <c r="A155" s="41" t="s">
        <v>21</v>
      </c>
      <c r="B155" s="41" t="s">
        <v>28</v>
      </c>
      <c r="C155" s="41" t="s">
        <v>23</v>
      </c>
      <c r="D155" s="41" t="s">
        <v>37</v>
      </c>
      <c r="E155" s="41" t="s">
        <v>38</v>
      </c>
      <c r="F155" s="41" t="s">
        <v>25</v>
      </c>
      <c r="G155" s="41" t="s">
        <v>25</v>
      </c>
      <c r="H155" s="41" t="s">
        <v>25</v>
      </c>
      <c r="I155" s="60">
        <v>44621</v>
      </c>
      <c r="J155" s="61">
        <f>EFEITO!$J$155*EFEITO!$Y$150</f>
        <v>0</v>
      </c>
      <c r="K155" s="61">
        <f ca="1">EFEITO!$L$155*EFEITO!$Z$150</f>
        <v>490.46646668485403</v>
      </c>
      <c r="L155" s="61">
        <f>EFEITO!$N$155*EFEITO!$AA$150</f>
        <v>193.82960187569225</v>
      </c>
      <c r="M155" s="61">
        <f>$J$155-EFEITO!$K$155*EFEITO!$Y$155</f>
        <v>0</v>
      </c>
      <c r="N155" s="61">
        <f ca="1">$K$155-EFEITO!$M$155*EFEITO!$Z$155</f>
        <v>14.713994000545654</v>
      </c>
      <c r="O155" s="61">
        <f>$L$155-EFEITO!$O$155*EFEITO!$AA$155</f>
        <v>5.8148880562707461</v>
      </c>
      <c r="P155" s="45"/>
      <c r="Q155" s="45"/>
      <c r="R155" s="45"/>
      <c r="S155" s="45"/>
      <c r="T155" s="45"/>
      <c r="U155" s="45"/>
      <c r="V155" s="45"/>
      <c r="W155" s="45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1.25" customHeight="1" x14ac:dyDescent="0.2">
      <c r="A156" s="41" t="s">
        <v>21</v>
      </c>
      <c r="B156" s="41" t="s">
        <v>28</v>
      </c>
      <c r="C156" s="41" t="s">
        <v>23</v>
      </c>
      <c r="D156" s="41" t="s">
        <v>37</v>
      </c>
      <c r="E156" s="41" t="s">
        <v>38</v>
      </c>
      <c r="F156" s="41" t="s">
        <v>25</v>
      </c>
      <c r="G156" s="41" t="s">
        <v>25</v>
      </c>
      <c r="H156" s="41" t="s">
        <v>25</v>
      </c>
      <c r="I156" s="60">
        <v>44652</v>
      </c>
      <c r="J156" s="61">
        <f>EFEITO!$J$156*EFEITO!$Y$150</f>
        <v>0</v>
      </c>
      <c r="K156" s="61">
        <f ca="1">EFEITO!$L$156*EFEITO!$Z$150</f>
        <v>499.70220788110009</v>
      </c>
      <c r="L156" s="61">
        <f>EFEITO!$N$156*EFEITO!$AA$150</f>
        <v>197.47951509238024</v>
      </c>
      <c r="M156" s="61">
        <f>$J$156-EFEITO!$K$156*EFEITO!$Y$156</f>
        <v>0</v>
      </c>
      <c r="N156" s="61">
        <f ca="1">$K$156-EFEITO!$M$156*EFEITO!$Z$156</f>
        <v>14.991066236433028</v>
      </c>
      <c r="O156" s="61">
        <f>$L$156-EFEITO!$O$156*EFEITO!$AA$156</f>
        <v>5.9243854527714177</v>
      </c>
      <c r="P156" s="45"/>
      <c r="Q156" s="45"/>
      <c r="R156" s="45"/>
      <c r="S156" s="45"/>
      <c r="T156" s="45"/>
      <c r="U156" s="45"/>
      <c r="V156" s="45"/>
      <c r="W156" s="45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1.25" customHeight="1" x14ac:dyDescent="0.2">
      <c r="A157" s="41" t="s">
        <v>21</v>
      </c>
      <c r="B157" s="41" t="s">
        <v>28</v>
      </c>
      <c r="C157" s="41" t="s">
        <v>23</v>
      </c>
      <c r="D157" s="41" t="s">
        <v>37</v>
      </c>
      <c r="E157" s="41" t="s">
        <v>38</v>
      </c>
      <c r="F157" s="41" t="s">
        <v>25</v>
      </c>
      <c r="G157" s="41" t="s">
        <v>25</v>
      </c>
      <c r="H157" s="41" t="s">
        <v>25</v>
      </c>
      <c r="I157" s="60">
        <v>44682</v>
      </c>
      <c r="J157" s="61">
        <f>EFEITO!$J$157*EFEITO!$Y$150</f>
        <v>0</v>
      </c>
      <c r="K157" s="61">
        <f ca="1">EFEITO!$L$157*EFEITO!$Z$150</f>
        <v>564.83848789672982</v>
      </c>
      <c r="L157" s="61">
        <f>EFEITO!$N$157*EFEITO!$AA$150</f>
        <v>223.22100830481111</v>
      </c>
      <c r="M157" s="61">
        <f>$J$157-EFEITO!$K$157*EFEITO!$Y$157</f>
        <v>0</v>
      </c>
      <c r="N157" s="61">
        <f ca="1">$K$157-EFEITO!$M$157*EFEITO!$Z$157</f>
        <v>16.945154636901862</v>
      </c>
      <c r="O157" s="61">
        <f>$L$157-EFEITO!$O$157*EFEITO!$AA$157</f>
        <v>6.6966302491443344</v>
      </c>
      <c r="P157" s="45"/>
      <c r="Q157" s="45"/>
      <c r="R157" s="45"/>
      <c r="S157" s="45"/>
      <c r="T157" s="45"/>
      <c r="U157" s="45"/>
      <c r="V157" s="45"/>
      <c r="W157" s="45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1.25" customHeight="1" x14ac:dyDescent="0.2">
      <c r="A158" s="41" t="s">
        <v>21</v>
      </c>
      <c r="B158" s="41" t="s">
        <v>28</v>
      </c>
      <c r="C158" s="41" t="s">
        <v>23</v>
      </c>
      <c r="D158" s="41" t="s">
        <v>37</v>
      </c>
      <c r="E158" s="41" t="s">
        <v>38</v>
      </c>
      <c r="F158" s="41" t="s">
        <v>25</v>
      </c>
      <c r="G158" s="41" t="s">
        <v>25</v>
      </c>
      <c r="H158" s="41" t="s">
        <v>25</v>
      </c>
      <c r="I158" s="60">
        <v>44713</v>
      </c>
      <c r="J158" s="61">
        <f>EFEITO!$J$158*EFEITO!$Y$150</f>
        <v>0</v>
      </c>
      <c r="K158" s="61">
        <f ca="1">EFEITO!$L$158*EFEITO!$Z$150</f>
        <v>452.06522697414698</v>
      </c>
      <c r="L158" s="61">
        <f>EFEITO!$N$158*EFEITO!$AA$150</f>
        <v>178.65364692209496</v>
      </c>
      <c r="M158" s="61">
        <f>$J$158-EFEITO!$K$158*EFEITO!$Y$158</f>
        <v>0</v>
      </c>
      <c r="N158" s="61">
        <f ca="1">$K$158-EFEITO!$M$158*EFEITO!$Z$158</f>
        <v>13.561956809224398</v>
      </c>
      <c r="O158" s="61">
        <f>$L$158-EFEITO!$O$158*EFEITO!$AA$158</f>
        <v>5.3596094076628447</v>
      </c>
      <c r="P158" s="45"/>
      <c r="Q158" s="45"/>
      <c r="R158" s="45"/>
      <c r="S158" s="45"/>
      <c r="T158" s="45"/>
      <c r="U158" s="45"/>
      <c r="V158" s="45"/>
      <c r="W158" s="45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1.25" customHeight="1" x14ac:dyDescent="0.2">
      <c r="A159" s="41" t="s">
        <v>21</v>
      </c>
      <c r="B159" s="41" t="s">
        <v>28</v>
      </c>
      <c r="C159" s="41" t="s">
        <v>23</v>
      </c>
      <c r="D159" s="41" t="s">
        <v>37</v>
      </c>
      <c r="E159" s="41" t="s">
        <v>38</v>
      </c>
      <c r="F159" s="41" t="s">
        <v>25</v>
      </c>
      <c r="G159" s="41" t="s">
        <v>25</v>
      </c>
      <c r="H159" s="41" t="s">
        <v>25</v>
      </c>
      <c r="I159" s="60">
        <v>44743</v>
      </c>
      <c r="J159" s="61">
        <f>EFEITO!$J$159*EFEITO!$Y$150</f>
        <v>0</v>
      </c>
      <c r="K159" s="61">
        <f ca="1">EFEITO!$L$159*EFEITO!$Z$150</f>
        <v>364.082639788856</v>
      </c>
      <c r="L159" s="61">
        <f>EFEITO!$N$159*EFEITO!$AA$150</f>
        <v>143.88342101575174</v>
      </c>
      <c r="M159" s="61">
        <f>$J$159-EFEITO!$K$159*EFEITO!$Y$159</f>
        <v>0</v>
      </c>
      <c r="N159" s="61">
        <f ca="1">$K$159-EFEITO!$M$159*EFEITO!$Z$159</f>
        <v>10.922479193665708</v>
      </c>
      <c r="O159" s="61">
        <f>$L$159-EFEITO!$O$159*EFEITO!$AA$159</f>
        <v>4.3165026304725416</v>
      </c>
      <c r="P159" s="45"/>
      <c r="Q159" s="45"/>
      <c r="R159" s="45"/>
      <c r="S159" s="45"/>
      <c r="T159" s="45"/>
      <c r="U159" s="45"/>
      <c r="V159" s="45"/>
      <c r="W159" s="45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1.25" customHeight="1" x14ac:dyDescent="0.2">
      <c r="A160" s="41" t="s">
        <v>21</v>
      </c>
      <c r="B160" s="41" t="s">
        <v>28</v>
      </c>
      <c r="C160" s="41" t="s">
        <v>23</v>
      </c>
      <c r="D160" s="41" t="s">
        <v>37</v>
      </c>
      <c r="E160" s="41" t="s">
        <v>38</v>
      </c>
      <c r="F160" s="41" t="s">
        <v>25</v>
      </c>
      <c r="G160" s="41" t="s">
        <v>25</v>
      </c>
      <c r="H160" s="41" t="s">
        <v>25</v>
      </c>
      <c r="I160" s="60">
        <v>44774</v>
      </c>
      <c r="J160" s="61">
        <f>EFEITO!$J$160*EFEITO!$Y$150</f>
        <v>0</v>
      </c>
      <c r="K160" s="61">
        <f ca="1">EFEITO!$L$160*EFEITO!$Z$150</f>
        <v>375.26274755273278</v>
      </c>
      <c r="L160" s="61">
        <f>EFEITO!$N$160*EFEITO!$AA$150</f>
        <v>148.30173701490034</v>
      </c>
      <c r="M160" s="61">
        <f>$J$160-EFEITO!$K$160*EFEITO!$Y$160</f>
        <v>0</v>
      </c>
      <c r="N160" s="61">
        <f ca="1">$K$160-EFEITO!$M$160*EFEITO!$Z$160</f>
        <v>11.257882426582</v>
      </c>
      <c r="O160" s="61">
        <f>$L$160-EFEITO!$O$160*EFEITO!$AA$160</f>
        <v>4.4490521104470133</v>
      </c>
      <c r="P160" s="45"/>
      <c r="Q160" s="45"/>
      <c r="R160" s="45"/>
      <c r="S160" s="45"/>
      <c r="T160" s="45"/>
      <c r="U160" s="45"/>
      <c r="V160" s="45"/>
      <c r="W160" s="45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1.25" customHeight="1" x14ac:dyDescent="0.2">
      <c r="A161" s="41" t="s">
        <v>21</v>
      </c>
      <c r="B161" s="41" t="s">
        <v>28</v>
      </c>
      <c r="C161" s="41" t="s">
        <v>23</v>
      </c>
      <c r="D161" s="41" t="s">
        <v>37</v>
      </c>
      <c r="E161" s="41" t="s">
        <v>38</v>
      </c>
      <c r="F161" s="41" t="s">
        <v>25</v>
      </c>
      <c r="G161" s="41" t="s">
        <v>25</v>
      </c>
      <c r="H161" s="41" t="s">
        <v>25</v>
      </c>
      <c r="I161" s="60">
        <v>44805</v>
      </c>
      <c r="J161" s="61">
        <f>EFEITO!$J$161*EFEITO!$Y$150</f>
        <v>0</v>
      </c>
      <c r="K161" s="61">
        <f ca="1">EFEITO!$L$161*EFEITO!$Z$150</f>
        <v>404.91433770910152</v>
      </c>
      <c r="L161" s="61">
        <f>EFEITO!$N$161*EFEITO!$AA$150</f>
        <v>160.01987944742484</v>
      </c>
      <c r="M161" s="61">
        <f>$J$161-EFEITO!$K$161*EFEITO!$Y$161</f>
        <v>0</v>
      </c>
      <c r="N161" s="61">
        <f ca="1">$K$161-EFEITO!$M$161*EFEITO!$Z$161</f>
        <v>12.14743013127304</v>
      </c>
      <c r="O161" s="61">
        <f>$L$161-EFEITO!$O$161*EFEITO!$AA$161</f>
        <v>4.800596383422743</v>
      </c>
      <c r="P161" s="45"/>
      <c r="Q161" s="45"/>
      <c r="R161" s="45"/>
      <c r="S161" s="45"/>
      <c r="T161" s="45"/>
      <c r="U161" s="45"/>
      <c r="V161" s="45"/>
      <c r="W161" s="45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1.25" customHeight="1" x14ac:dyDescent="0.2">
      <c r="A162" s="41" t="s">
        <v>21</v>
      </c>
      <c r="B162" s="41" t="s">
        <v>28</v>
      </c>
      <c r="C162" s="41" t="s">
        <v>23</v>
      </c>
      <c r="D162" s="41" t="s">
        <v>37</v>
      </c>
      <c r="E162" s="41" t="s">
        <v>38</v>
      </c>
      <c r="F162" s="41" t="s">
        <v>25</v>
      </c>
      <c r="G162" s="41" t="s">
        <v>25</v>
      </c>
      <c r="H162" s="41" t="s">
        <v>25</v>
      </c>
      <c r="I162" s="60">
        <v>44835</v>
      </c>
      <c r="J162" s="61">
        <f>EFEITO!$J$162*EFEITO!$Y$150</f>
        <v>0</v>
      </c>
      <c r="K162" s="61">
        <f ca="1">EFEITO!$L$162*EFEITO!$Z$150</f>
        <v>395.67859651285551</v>
      </c>
      <c r="L162" s="61">
        <f>EFEITO!$N$162*EFEITO!$AA$150</f>
        <v>156.36996623073688</v>
      </c>
      <c r="M162" s="61">
        <f>$J$162-EFEITO!$K$162*EFEITO!$Y$162</f>
        <v>0</v>
      </c>
      <c r="N162" s="61">
        <f ca="1">$K$162-EFEITO!$M$162*EFEITO!$Z$162</f>
        <v>11.870357895385666</v>
      </c>
      <c r="O162" s="61">
        <f>$L$162-EFEITO!$O$162*EFEITO!$AA$162</f>
        <v>4.6910989869221282</v>
      </c>
      <c r="P162" s="45"/>
      <c r="Q162" s="45"/>
      <c r="R162" s="45"/>
      <c r="S162" s="45"/>
      <c r="T162" s="45"/>
      <c r="U162" s="45"/>
      <c r="V162" s="45"/>
      <c r="W162" s="45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1.25" customHeight="1" x14ac:dyDescent="0.2">
      <c r="A163" s="41" t="s">
        <v>21</v>
      </c>
      <c r="B163" s="41" t="s">
        <v>34</v>
      </c>
      <c r="C163" s="41" t="s">
        <v>23</v>
      </c>
      <c r="D163" s="41" t="s">
        <v>35</v>
      </c>
      <c r="E163" s="41" t="s">
        <v>36</v>
      </c>
      <c r="F163" s="41" t="s">
        <v>25</v>
      </c>
      <c r="G163" s="41" t="s">
        <v>25</v>
      </c>
      <c r="H163" s="41" t="s">
        <v>25</v>
      </c>
      <c r="I163" s="60">
        <v>44501</v>
      </c>
      <c r="J163" s="61">
        <f>EFEITO!$J$163*EFEITO!$Y$163</f>
        <v>0</v>
      </c>
      <c r="K163" s="61">
        <f ca="1">EFEITO!$L$163*EFEITO!$Z$163</f>
        <v>4949.1906612472858</v>
      </c>
      <c r="L163" s="61">
        <f>EFEITO!$N$163*EFEITO!$AA$163</f>
        <v>1955.8924424752713</v>
      </c>
      <c r="M163" s="61">
        <f>$J$163-EFEITO!$K$163*EFEITO!$Y$163</f>
        <v>0</v>
      </c>
      <c r="N163" s="61">
        <f ca="1">$K$163-EFEITO!$M$163*EFEITO!$Z$163</f>
        <v>0</v>
      </c>
      <c r="O163" s="61">
        <f>$L$163-EFEITO!$O$163*EFEITO!$AA$163</f>
        <v>0</v>
      </c>
      <c r="P163" s="45"/>
      <c r="Q163" s="45"/>
      <c r="R163" s="45"/>
      <c r="S163" s="45"/>
      <c r="T163" s="45"/>
      <c r="U163" s="45"/>
      <c r="V163" s="45"/>
      <c r="W163" s="45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1.25" customHeight="1" x14ac:dyDescent="0.2">
      <c r="A164" s="41" t="s">
        <v>21</v>
      </c>
      <c r="B164" s="41" t="s">
        <v>34</v>
      </c>
      <c r="C164" s="41" t="s">
        <v>23</v>
      </c>
      <c r="D164" s="41" t="s">
        <v>35</v>
      </c>
      <c r="E164" s="41" t="s">
        <v>36</v>
      </c>
      <c r="F164" s="41" t="s">
        <v>25</v>
      </c>
      <c r="G164" s="41" t="s">
        <v>25</v>
      </c>
      <c r="H164" s="41" t="s">
        <v>25</v>
      </c>
      <c r="I164" s="60">
        <v>44531</v>
      </c>
      <c r="J164" s="61">
        <f>EFEITO!$J$164*EFEITO!$Y$164</f>
        <v>0</v>
      </c>
      <c r="K164" s="61">
        <f ca="1">EFEITO!$L$164*EFEITO!$Z$164</f>
        <v>5189.5386735885413</v>
      </c>
      <c r="L164" s="61">
        <f>EFEITO!$N$164*EFEITO!$AA$164</f>
        <v>2050.8766314221853</v>
      </c>
      <c r="M164" s="61">
        <f>$J$164-EFEITO!$K$164*EFEITO!$Y$164</f>
        <v>0</v>
      </c>
      <c r="N164" s="61">
        <f ca="1">$K$164-EFEITO!$M$164*EFEITO!$Z$164</f>
        <v>0</v>
      </c>
      <c r="O164" s="61">
        <f>$L$164-EFEITO!$O$164*EFEITO!$AA$164</f>
        <v>0</v>
      </c>
      <c r="P164" s="45"/>
      <c r="Q164" s="45"/>
      <c r="R164" s="45"/>
      <c r="S164" s="45"/>
      <c r="T164" s="45"/>
      <c r="U164" s="45"/>
      <c r="V164" s="45"/>
      <c r="W164" s="45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1.25" customHeight="1" x14ac:dyDescent="0.2">
      <c r="A165" s="41" t="s">
        <v>21</v>
      </c>
      <c r="B165" s="41" t="s">
        <v>34</v>
      </c>
      <c r="C165" s="41" t="s">
        <v>23</v>
      </c>
      <c r="D165" s="41" t="s">
        <v>35</v>
      </c>
      <c r="E165" s="41" t="s">
        <v>36</v>
      </c>
      <c r="F165" s="41" t="s">
        <v>25</v>
      </c>
      <c r="G165" s="41" t="s">
        <v>25</v>
      </c>
      <c r="H165" s="41" t="s">
        <v>25</v>
      </c>
      <c r="I165" s="60">
        <v>44562</v>
      </c>
      <c r="J165" s="61">
        <f>EFEITO!$J$165*EFEITO!$Y$165</f>
        <v>0</v>
      </c>
      <c r="K165" s="61">
        <f ca="1">EFEITO!$L$165*EFEITO!$Z$165</f>
        <v>5164.9424365080113</v>
      </c>
      <c r="L165" s="61">
        <f>EFEITO!$N$165*EFEITO!$AA$165</f>
        <v>2041.1563362240581</v>
      </c>
      <c r="M165" s="61">
        <f>$J$165-EFEITO!$K$165*EFEITO!$Y$165</f>
        <v>0</v>
      </c>
      <c r="N165" s="61">
        <f ca="1">$K$165-EFEITO!$M$165*EFEITO!$Z$165</f>
        <v>0</v>
      </c>
      <c r="O165" s="61">
        <f>$L$165-EFEITO!$O$165*EFEITO!$AA$165</f>
        <v>0</v>
      </c>
      <c r="P165" s="45"/>
      <c r="Q165" s="45"/>
      <c r="R165" s="45"/>
      <c r="S165" s="45"/>
      <c r="T165" s="45"/>
      <c r="U165" s="45"/>
      <c r="V165" s="45"/>
      <c r="W165" s="45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1.25" customHeight="1" x14ac:dyDescent="0.2">
      <c r="A166" s="41" t="s">
        <v>21</v>
      </c>
      <c r="B166" s="41" t="s">
        <v>34</v>
      </c>
      <c r="C166" s="41" t="s">
        <v>23</v>
      </c>
      <c r="D166" s="41" t="s">
        <v>35</v>
      </c>
      <c r="E166" s="41" t="s">
        <v>36</v>
      </c>
      <c r="F166" s="41" t="s">
        <v>25</v>
      </c>
      <c r="G166" s="41" t="s">
        <v>25</v>
      </c>
      <c r="H166" s="41" t="s">
        <v>25</v>
      </c>
      <c r="I166" s="60">
        <v>44593</v>
      </c>
      <c r="J166" s="61">
        <f>EFEITO!$J$166*EFEITO!$Y$166</f>
        <v>0</v>
      </c>
      <c r="K166" s="61">
        <f ca="1">EFEITO!$L$166*EFEITO!$Z$166</f>
        <v>4820.0604165745099</v>
      </c>
      <c r="L166" s="61">
        <f>EFEITO!$N$166*EFEITO!$AA$166</f>
        <v>1904.860892685105</v>
      </c>
      <c r="M166" s="61">
        <f>$J$166-EFEITO!$K$166*EFEITO!$Y$166</f>
        <v>0</v>
      </c>
      <c r="N166" s="61">
        <f ca="1">$K$166-EFEITO!$M$166*EFEITO!$Z$166</f>
        <v>0</v>
      </c>
      <c r="O166" s="61">
        <f>$L$166-EFEITO!$O$166*EFEITO!$AA$166</f>
        <v>0</v>
      </c>
      <c r="P166" s="45"/>
      <c r="Q166" s="45"/>
      <c r="R166" s="45"/>
      <c r="S166" s="45"/>
      <c r="T166" s="45"/>
      <c r="U166" s="45"/>
      <c r="V166" s="45"/>
      <c r="W166" s="45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1.25" customHeight="1" x14ac:dyDescent="0.2">
      <c r="A167" s="41" t="s">
        <v>21</v>
      </c>
      <c r="B167" s="41" t="s">
        <v>34</v>
      </c>
      <c r="C167" s="41" t="s">
        <v>23</v>
      </c>
      <c r="D167" s="41" t="s">
        <v>35</v>
      </c>
      <c r="E167" s="41" t="s">
        <v>36</v>
      </c>
      <c r="F167" s="41" t="s">
        <v>25</v>
      </c>
      <c r="G167" s="41" t="s">
        <v>25</v>
      </c>
      <c r="H167" s="41" t="s">
        <v>25</v>
      </c>
      <c r="I167" s="60">
        <v>44621</v>
      </c>
      <c r="J167" s="61">
        <f>EFEITO!$J$167*EFEITO!$Y$167</f>
        <v>0</v>
      </c>
      <c r="K167" s="61">
        <f ca="1">EFEITO!$L$167*EFEITO!$Z$167</f>
        <v>5326.4220799497443</v>
      </c>
      <c r="L167" s="61">
        <f>EFEITO!$N$167*EFEITO!$AA$167</f>
        <v>2104.9721873074127</v>
      </c>
      <c r="M167" s="61">
        <f>$J$167-EFEITO!$K$167*EFEITO!$Y$167</f>
        <v>0</v>
      </c>
      <c r="N167" s="61">
        <f ca="1">$K$167-EFEITO!$M$167*EFEITO!$Z$167</f>
        <v>0</v>
      </c>
      <c r="O167" s="61">
        <f>$L$167-EFEITO!$O$167*EFEITO!$AA$167</f>
        <v>0</v>
      </c>
      <c r="P167" s="45"/>
      <c r="Q167" s="45"/>
      <c r="R167" s="45"/>
      <c r="S167" s="45"/>
      <c r="T167" s="45"/>
      <c r="U167" s="45"/>
      <c r="V167" s="45"/>
      <c r="W167" s="45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1.25" customHeight="1" x14ac:dyDescent="0.2">
      <c r="A168" s="41" t="s">
        <v>21</v>
      </c>
      <c r="B168" s="41" t="s">
        <v>34</v>
      </c>
      <c r="C168" s="41" t="s">
        <v>23</v>
      </c>
      <c r="D168" s="41" t="s">
        <v>35</v>
      </c>
      <c r="E168" s="41" t="s">
        <v>36</v>
      </c>
      <c r="F168" s="41" t="s">
        <v>25</v>
      </c>
      <c r="G168" s="41" t="s">
        <v>25</v>
      </c>
      <c r="H168" s="41" t="s">
        <v>25</v>
      </c>
      <c r="I168" s="60">
        <v>44652</v>
      </c>
      <c r="J168" s="61">
        <f>EFEITO!$J$168*EFEITO!$Y$168</f>
        <v>0</v>
      </c>
      <c r="K168" s="61">
        <f ca="1">EFEITO!$L$168*EFEITO!$Z$168</f>
        <v>6152.5348253718557</v>
      </c>
      <c r="L168" s="61">
        <f>EFEITO!$N$168*EFEITO!$AA$168</f>
        <v>2431.4473195053706</v>
      </c>
      <c r="M168" s="61">
        <f>$J$168-EFEITO!$K$168*EFEITO!$Y$168</f>
        <v>0</v>
      </c>
      <c r="N168" s="61">
        <f ca="1">$K$168-EFEITO!$M$168*EFEITO!$Z$168</f>
        <v>0</v>
      </c>
      <c r="O168" s="61">
        <f>$L$168-EFEITO!$O$168*EFEITO!$AA$168</f>
        <v>0</v>
      </c>
      <c r="P168" s="45"/>
      <c r="Q168" s="45"/>
      <c r="R168" s="45"/>
      <c r="S168" s="45"/>
      <c r="T168" s="45"/>
      <c r="U168" s="45"/>
      <c r="V168" s="45"/>
      <c r="W168" s="45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1.25" customHeight="1" x14ac:dyDescent="0.2">
      <c r="A169" s="41" t="s">
        <v>21</v>
      </c>
      <c r="B169" s="41" t="s">
        <v>34</v>
      </c>
      <c r="C169" s="41" t="s">
        <v>23</v>
      </c>
      <c r="D169" s="41" t="s">
        <v>35</v>
      </c>
      <c r="E169" s="41" t="s">
        <v>36</v>
      </c>
      <c r="F169" s="41" t="s">
        <v>25</v>
      </c>
      <c r="G169" s="41" t="s">
        <v>25</v>
      </c>
      <c r="H169" s="41" t="s">
        <v>25</v>
      </c>
      <c r="I169" s="60">
        <v>44682</v>
      </c>
      <c r="J169" s="61">
        <f>EFEITO!$J$169*EFEITO!$Y$169</f>
        <v>0</v>
      </c>
      <c r="K169" s="61">
        <f ca="1">EFEITO!$L$169*EFEITO!$Z$169</f>
        <v>6168.0411487487108</v>
      </c>
      <c r="L169" s="61">
        <f>EFEITO!$N$169*EFEITO!$AA$169</f>
        <v>2437.5753316954942</v>
      </c>
      <c r="M169" s="61">
        <f>$J$169-EFEITO!$K$169*EFEITO!$Y$169</f>
        <v>0</v>
      </c>
      <c r="N169" s="61">
        <f ca="1">$K$169-EFEITO!$M$169*EFEITO!$Z$169</f>
        <v>0</v>
      </c>
      <c r="O169" s="61">
        <f>$L$169-EFEITO!$O$169*EFEITO!$AA$169</f>
        <v>0</v>
      </c>
      <c r="P169" s="45"/>
      <c r="Q169" s="45"/>
      <c r="R169" s="45"/>
      <c r="S169" s="45"/>
      <c r="T169" s="45"/>
      <c r="U169" s="45"/>
      <c r="V169" s="45"/>
      <c r="W169" s="45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1.25" customHeight="1" x14ac:dyDescent="0.2">
      <c r="A170" s="41" t="s">
        <v>21</v>
      </c>
      <c r="B170" s="41" t="s">
        <v>34</v>
      </c>
      <c r="C170" s="41" t="s">
        <v>23</v>
      </c>
      <c r="D170" s="41" t="s">
        <v>35</v>
      </c>
      <c r="E170" s="41" t="s">
        <v>36</v>
      </c>
      <c r="F170" s="41" t="s">
        <v>25</v>
      </c>
      <c r="G170" s="41" t="s">
        <v>25</v>
      </c>
      <c r="H170" s="41" t="s">
        <v>25</v>
      </c>
      <c r="I170" s="60">
        <v>44713</v>
      </c>
      <c r="J170" s="61">
        <f>EFEITO!$J$170*EFEITO!$Y$170</f>
        <v>0</v>
      </c>
      <c r="K170" s="61">
        <f ca="1">EFEITO!$L$170*EFEITO!$Z$170</f>
        <v>7731.5063057805892</v>
      </c>
      <c r="L170" s="61">
        <f>EFEITO!$N$170*EFEITO!$AA$170</f>
        <v>3055.4480090720813</v>
      </c>
      <c r="M170" s="61">
        <f>$J$170-EFEITO!$K$170*EFEITO!$Y$170</f>
        <v>0</v>
      </c>
      <c r="N170" s="61">
        <f ca="1">$K$170-EFEITO!$M$170*EFEITO!$Z$170</f>
        <v>0</v>
      </c>
      <c r="O170" s="61">
        <f>$L$170-EFEITO!$O$170*EFEITO!$AA$170</f>
        <v>0</v>
      </c>
      <c r="P170" s="45"/>
      <c r="Q170" s="45"/>
      <c r="R170" s="45"/>
      <c r="S170" s="45"/>
      <c r="T170" s="45"/>
      <c r="U170" s="45"/>
      <c r="V170" s="45"/>
      <c r="W170" s="45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11.25" customHeight="1" x14ac:dyDescent="0.2">
      <c r="A171" s="41" t="s">
        <v>21</v>
      </c>
      <c r="B171" s="41" t="s">
        <v>34</v>
      </c>
      <c r="C171" s="41" t="s">
        <v>23</v>
      </c>
      <c r="D171" s="41" t="s">
        <v>35</v>
      </c>
      <c r="E171" s="41" t="s">
        <v>36</v>
      </c>
      <c r="F171" s="41" t="s">
        <v>25</v>
      </c>
      <c r="G171" s="41" t="s">
        <v>25</v>
      </c>
      <c r="H171" s="41" t="s">
        <v>25</v>
      </c>
      <c r="I171" s="60">
        <v>44743</v>
      </c>
      <c r="J171" s="61">
        <f>EFEITO!$J$171*EFEITO!$Y$171</f>
        <v>0</v>
      </c>
      <c r="K171" s="61">
        <f ca="1">EFEITO!$L$171*EFEITO!$Z$171</f>
        <v>7333.9562564463886</v>
      </c>
      <c r="L171" s="61">
        <f>EFEITO!$N$171*EFEITO!$AA$171</f>
        <v>2898.3384551632257</v>
      </c>
      <c r="M171" s="61">
        <f>$J$171-EFEITO!$K$171*EFEITO!$Y$171</f>
        <v>0</v>
      </c>
      <c r="N171" s="61">
        <f ca="1">$K$171-EFEITO!$M$171*EFEITO!$Z$171</f>
        <v>0</v>
      </c>
      <c r="O171" s="61">
        <f>$L$171-EFEITO!$O$171*EFEITO!$AA$171</f>
        <v>0</v>
      </c>
      <c r="P171" s="45"/>
      <c r="Q171" s="45"/>
      <c r="R171" s="45"/>
      <c r="S171" s="45"/>
      <c r="T171" s="45"/>
      <c r="U171" s="45"/>
      <c r="V171" s="45"/>
      <c r="W171" s="45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11.25" customHeight="1" x14ac:dyDescent="0.2">
      <c r="A172" s="41" t="s">
        <v>21</v>
      </c>
      <c r="B172" s="41" t="s">
        <v>34</v>
      </c>
      <c r="C172" s="41" t="s">
        <v>23</v>
      </c>
      <c r="D172" s="41" t="s">
        <v>35</v>
      </c>
      <c r="E172" s="41" t="s">
        <v>36</v>
      </c>
      <c r="F172" s="41" t="s">
        <v>25</v>
      </c>
      <c r="G172" s="41" t="s">
        <v>25</v>
      </c>
      <c r="H172" s="41" t="s">
        <v>25</v>
      </c>
      <c r="I172" s="60">
        <v>44774</v>
      </c>
      <c r="J172" s="61">
        <f>EFEITO!$J$172*EFEITO!$Y$172</f>
        <v>0</v>
      </c>
      <c r="K172" s="61">
        <f ca="1">EFEITO!$L$172*EFEITO!$Z$172</f>
        <v>7368.4444584397388</v>
      </c>
      <c r="L172" s="61">
        <f>EFEITO!$N$172*EFEITO!$AA$172</f>
        <v>2911.9679995171214</v>
      </c>
      <c r="M172" s="61">
        <f>$J$172-EFEITO!$K$172*EFEITO!$Y$172</f>
        <v>0</v>
      </c>
      <c r="N172" s="61">
        <f ca="1">$K$172-EFEITO!$M$172*EFEITO!$Z$172</f>
        <v>0</v>
      </c>
      <c r="O172" s="61">
        <f>$L$172-EFEITO!$O$172*EFEITO!$AA$172</f>
        <v>0</v>
      </c>
      <c r="P172" s="45"/>
      <c r="Q172" s="45"/>
      <c r="R172" s="45"/>
      <c r="S172" s="45"/>
      <c r="T172" s="45"/>
      <c r="U172" s="45"/>
      <c r="V172" s="45"/>
      <c r="W172" s="45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11.25" customHeight="1" x14ac:dyDescent="0.2">
      <c r="A173" s="41" t="s">
        <v>21</v>
      </c>
      <c r="B173" s="41" t="s">
        <v>34</v>
      </c>
      <c r="C173" s="41" t="s">
        <v>23</v>
      </c>
      <c r="D173" s="41" t="s">
        <v>35</v>
      </c>
      <c r="E173" s="41" t="s">
        <v>36</v>
      </c>
      <c r="F173" s="41" t="s">
        <v>25</v>
      </c>
      <c r="G173" s="41" t="s">
        <v>25</v>
      </c>
      <c r="H173" s="41" t="s">
        <v>25</v>
      </c>
      <c r="I173" s="60">
        <v>44805</v>
      </c>
      <c r="J173" s="61">
        <f>EFEITO!$J$173*EFEITO!$Y$173</f>
        <v>0</v>
      </c>
      <c r="K173" s="61">
        <f ca="1">EFEITO!$L$173*EFEITO!$Z$173</f>
        <v>6781.0756229405879</v>
      </c>
      <c r="L173" s="61">
        <f>EFEITO!$N$173*EFEITO!$AA$173</f>
        <v>2679.8431239705478</v>
      </c>
      <c r="M173" s="61">
        <f>$J$173-EFEITO!$K$173*EFEITO!$Y$173</f>
        <v>0</v>
      </c>
      <c r="N173" s="61">
        <f ca="1">$K$173-EFEITO!$M$173*EFEITO!$Z$173</f>
        <v>0</v>
      </c>
      <c r="O173" s="61">
        <f>$L$173-EFEITO!$O$173*EFEITO!$AA$173</f>
        <v>0</v>
      </c>
      <c r="P173" s="45"/>
      <c r="Q173" s="45"/>
      <c r="R173" s="45"/>
      <c r="S173" s="45"/>
      <c r="T173" s="45"/>
      <c r="U173" s="45"/>
      <c r="V173" s="45"/>
      <c r="W173" s="45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11.25" customHeight="1" x14ac:dyDescent="0.2">
      <c r="A174" s="41" t="s">
        <v>21</v>
      </c>
      <c r="B174" s="41" t="s">
        <v>34</v>
      </c>
      <c r="C174" s="41" t="s">
        <v>23</v>
      </c>
      <c r="D174" s="41" t="s">
        <v>35</v>
      </c>
      <c r="E174" s="41" t="s">
        <v>36</v>
      </c>
      <c r="F174" s="41" t="s">
        <v>25</v>
      </c>
      <c r="G174" s="41" t="s">
        <v>25</v>
      </c>
      <c r="H174" s="41" t="s">
        <v>25</v>
      </c>
      <c r="I174" s="60">
        <v>44835</v>
      </c>
      <c r="J174" s="61">
        <f>EFEITO!$J$174*EFEITO!$Y$174</f>
        <v>0</v>
      </c>
      <c r="K174" s="61">
        <f ca="1">EFEITO!$L$174*EFEITO!$Z$174</f>
        <v>6355.18643088317</v>
      </c>
      <c r="L174" s="61">
        <f>EFEITO!$N$174*EFEITO!$AA$174</f>
        <v>2511.5340995073288</v>
      </c>
      <c r="M174" s="61">
        <f>$J$174-EFEITO!$K$174*EFEITO!$Y$174</f>
        <v>0</v>
      </c>
      <c r="N174" s="61">
        <f ca="1">$K$174-EFEITO!$M$174*EFEITO!$Z$174</f>
        <v>0</v>
      </c>
      <c r="O174" s="61">
        <f>$L$174-EFEITO!$O$174*EFEITO!$AA$174</f>
        <v>0</v>
      </c>
      <c r="P174" s="45"/>
      <c r="Q174" s="45"/>
      <c r="R174" s="45"/>
      <c r="S174" s="45"/>
      <c r="T174" s="45"/>
      <c r="U174" s="45"/>
      <c r="V174" s="45"/>
      <c r="W174" s="45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</sheetData>
  <mergeCells count="1">
    <mergeCell ref="Q1:A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07A8-344D-4773-8A3A-3A705F4B0085}">
  <sheetPr codeName="Planilha22"/>
  <dimension ref="A1:BD103"/>
  <sheetViews>
    <sheetView showGridLines="0" workbookViewId="0">
      <selection activeCell="L53" sqref="L53:BD103"/>
    </sheetView>
  </sheetViews>
  <sheetFormatPr defaultColWidth="9.140625" defaultRowHeight="11.25" customHeight="1" x14ac:dyDescent="0.25"/>
  <cols>
    <col min="1" max="1" width="9.28515625" style="9" bestFit="1" customWidth="1"/>
    <col min="2" max="2" width="23.42578125" style="9" bestFit="1" customWidth="1"/>
    <col min="3" max="3" width="33" style="9" bestFit="1" customWidth="1"/>
    <col min="4" max="4" width="56.140625" style="9" bestFit="1" customWidth="1"/>
    <col min="5" max="5" width="65.7109375" style="9" bestFit="1" customWidth="1"/>
    <col min="6" max="6" width="75.42578125" style="9" bestFit="1" customWidth="1"/>
    <col min="7" max="7" width="7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5" width="4.140625" style="9" bestFit="1" customWidth="1"/>
    <col min="16" max="16" width="4.42578125" style="9" bestFit="1" customWidth="1"/>
    <col min="17" max="17" width="8.7109375" style="9" bestFit="1" customWidth="1"/>
    <col min="18" max="18" width="7.85546875" style="9" bestFit="1" customWidth="1"/>
    <col min="19" max="19" width="8.7109375" style="9" bestFit="1" customWidth="1"/>
    <col min="20" max="20" width="7.42578125" style="9" bestFit="1" customWidth="1"/>
    <col min="21" max="21" width="7.28515625" style="9" bestFit="1" customWidth="1"/>
    <col min="22" max="23" width="9.85546875" style="9" bestFit="1" customWidth="1"/>
    <col min="24" max="24" width="8.7109375" style="9" bestFit="1" customWidth="1"/>
    <col min="25" max="25" width="7.7109375" style="9" bestFit="1" customWidth="1"/>
    <col min="26" max="26" width="9.85546875" style="9" bestFit="1" customWidth="1"/>
    <col min="27" max="27" width="11.7109375" style="9" bestFit="1" customWidth="1"/>
    <col min="28" max="28" width="8" style="9" bestFit="1" customWidth="1"/>
    <col min="29" max="29" width="7.28515625" style="9" bestFit="1" customWidth="1"/>
    <col min="30" max="30" width="15.28515625" style="9" bestFit="1" customWidth="1"/>
    <col min="31" max="31" width="18" style="9" bestFit="1" customWidth="1"/>
    <col min="32" max="32" width="19.140625" style="9" bestFit="1" customWidth="1"/>
    <col min="33" max="33" width="4" style="9" bestFit="1" customWidth="1"/>
    <col min="34" max="34" width="9.140625" style="9"/>
    <col min="35" max="35" width="13.42578125" style="9" bestFit="1" customWidth="1"/>
    <col min="36" max="36" width="7.85546875" style="9" bestFit="1" customWidth="1"/>
    <col min="37" max="38" width="4.140625" style="9" bestFit="1" customWidth="1"/>
    <col min="39" max="39" width="4.42578125" style="9" bestFit="1" customWidth="1"/>
    <col min="40" max="40" width="8.7109375" style="9" bestFit="1" customWidth="1"/>
    <col min="41" max="41" width="7.85546875" style="9" bestFit="1" customWidth="1"/>
    <col min="42" max="42" width="8.7109375" style="9" bestFit="1" customWidth="1"/>
    <col min="43" max="43" width="7.42578125" style="9" bestFit="1" customWidth="1"/>
    <col min="44" max="44" width="7.28515625" style="9" bestFit="1" customWidth="1"/>
    <col min="45" max="46" width="9.85546875" style="9" bestFit="1" customWidth="1"/>
    <col min="47" max="47" width="8.7109375" style="9" bestFit="1" customWidth="1"/>
    <col min="48" max="48" width="7.7109375" style="9" bestFit="1" customWidth="1"/>
    <col min="49" max="49" width="9.85546875" style="9" bestFit="1" customWidth="1"/>
    <col min="50" max="50" width="11.7109375" style="9" bestFit="1" customWidth="1"/>
    <col min="51" max="51" width="8" style="9" bestFit="1" customWidth="1"/>
    <col min="52" max="52" width="7.28515625" style="9" bestFit="1" customWidth="1"/>
    <col min="53" max="53" width="15.28515625" style="9" bestFit="1" customWidth="1"/>
    <col min="54" max="54" width="18" style="9" bestFit="1" customWidth="1"/>
    <col min="55" max="55" width="19.140625" style="9" bestFit="1" customWidth="1"/>
    <col min="56" max="56" width="4" style="9" bestFit="1" customWidth="1"/>
    <col min="57" max="16384" width="9.140625" style="9"/>
  </cols>
  <sheetData>
    <row r="1" spans="1:56" ht="11.25" customHeight="1" x14ac:dyDescent="0.25">
      <c r="A1" s="104" t="s">
        <v>49</v>
      </c>
      <c r="B1" s="104" t="s">
        <v>50</v>
      </c>
      <c r="C1" s="104" t="s">
        <v>51</v>
      </c>
      <c r="D1" s="104" t="s">
        <v>52</v>
      </c>
      <c r="E1" s="104" t="s">
        <v>53</v>
      </c>
      <c r="F1" s="104" t="s">
        <v>15</v>
      </c>
      <c r="G1" s="104" t="s">
        <v>55</v>
      </c>
      <c r="H1" s="104" t="s">
        <v>56</v>
      </c>
      <c r="I1" s="104" t="s">
        <v>365</v>
      </c>
      <c r="J1" s="96"/>
      <c r="L1" s="105" t="s">
        <v>569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I1" s="105" t="s">
        <v>570</v>
      </c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</row>
    <row r="2" spans="1:56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6"/>
      <c r="L2" s="105" t="s">
        <v>263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I2" s="105" t="s">
        <v>263</v>
      </c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</row>
    <row r="3" spans="1:56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6"/>
      <c r="L3" s="105" t="s">
        <v>264</v>
      </c>
      <c r="M3" s="105"/>
      <c r="N3" s="105"/>
      <c r="O3" s="105"/>
      <c r="P3" s="105"/>
      <c r="Q3" s="105"/>
      <c r="R3" s="105"/>
      <c r="S3" s="105"/>
      <c r="T3" s="105" t="s">
        <v>273</v>
      </c>
      <c r="U3" s="105"/>
      <c r="V3" s="105"/>
      <c r="W3" s="105"/>
      <c r="X3" s="105"/>
      <c r="Y3" s="105"/>
      <c r="Z3" s="105"/>
      <c r="AA3" s="10" t="s">
        <v>281</v>
      </c>
      <c r="AB3" s="105" t="s">
        <v>283</v>
      </c>
      <c r="AC3" s="105"/>
      <c r="AD3" s="105" t="s">
        <v>286</v>
      </c>
      <c r="AE3" s="105"/>
      <c r="AF3" s="105"/>
      <c r="AG3" s="105"/>
      <c r="AI3" s="105" t="s">
        <v>264</v>
      </c>
      <c r="AJ3" s="105"/>
      <c r="AK3" s="105"/>
      <c r="AL3" s="105"/>
      <c r="AM3" s="105"/>
      <c r="AN3" s="105"/>
      <c r="AO3" s="105"/>
      <c r="AP3" s="105"/>
      <c r="AQ3" s="105" t="s">
        <v>273</v>
      </c>
      <c r="AR3" s="105"/>
      <c r="AS3" s="105"/>
      <c r="AT3" s="105"/>
      <c r="AU3" s="105"/>
      <c r="AV3" s="105"/>
      <c r="AW3" s="105"/>
      <c r="AX3" s="10" t="s">
        <v>281</v>
      </c>
      <c r="AY3" s="105" t="s">
        <v>283</v>
      </c>
      <c r="AZ3" s="105"/>
      <c r="BA3" s="105" t="s">
        <v>286</v>
      </c>
      <c r="BB3" s="105"/>
      <c r="BC3" s="105"/>
      <c r="BD3" s="105"/>
    </row>
    <row r="4" spans="1:56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6"/>
      <c r="L4" s="10" t="s">
        <v>349</v>
      </c>
      <c r="M4" s="10" t="s">
        <v>265</v>
      </c>
      <c r="N4" s="10" t="s">
        <v>266</v>
      </c>
      <c r="O4" s="10" t="s">
        <v>267</v>
      </c>
      <c r="P4" s="10" t="s">
        <v>268</v>
      </c>
      <c r="Q4" s="10" t="s">
        <v>269</v>
      </c>
      <c r="R4" s="10" t="s">
        <v>270</v>
      </c>
      <c r="S4" s="10" t="s">
        <v>271</v>
      </c>
      <c r="T4" s="10" t="s">
        <v>274</v>
      </c>
      <c r="U4" s="10" t="s">
        <v>275</v>
      </c>
      <c r="V4" s="10" t="s">
        <v>276</v>
      </c>
      <c r="W4" s="10" t="s">
        <v>277</v>
      </c>
      <c r="X4" s="10" t="s">
        <v>278</v>
      </c>
      <c r="Y4" s="10" t="s">
        <v>279</v>
      </c>
      <c r="Z4" s="10" t="s">
        <v>280</v>
      </c>
      <c r="AA4" s="10" t="s">
        <v>282</v>
      </c>
      <c r="AB4" s="10" t="s">
        <v>284</v>
      </c>
      <c r="AC4" s="10" t="s">
        <v>285</v>
      </c>
      <c r="AD4" s="10" t="s">
        <v>287</v>
      </c>
      <c r="AE4" s="10" t="s">
        <v>288</v>
      </c>
      <c r="AF4" s="10" t="s">
        <v>289</v>
      </c>
      <c r="AG4" s="10" t="s">
        <v>290</v>
      </c>
      <c r="AI4" s="10" t="s">
        <v>349</v>
      </c>
      <c r="AJ4" s="10" t="s">
        <v>265</v>
      </c>
      <c r="AK4" s="10" t="s">
        <v>266</v>
      </c>
      <c r="AL4" s="10" t="s">
        <v>267</v>
      </c>
      <c r="AM4" s="10" t="s">
        <v>268</v>
      </c>
      <c r="AN4" s="10" t="s">
        <v>269</v>
      </c>
      <c r="AO4" s="10" t="s">
        <v>270</v>
      </c>
      <c r="AP4" s="10" t="s">
        <v>271</v>
      </c>
      <c r="AQ4" s="10" t="s">
        <v>274</v>
      </c>
      <c r="AR4" s="10" t="s">
        <v>275</v>
      </c>
      <c r="AS4" s="10" t="s">
        <v>276</v>
      </c>
      <c r="AT4" s="10" t="s">
        <v>277</v>
      </c>
      <c r="AU4" s="10" t="s">
        <v>278</v>
      </c>
      <c r="AV4" s="10" t="s">
        <v>279</v>
      </c>
      <c r="AW4" s="10" t="s">
        <v>280</v>
      </c>
      <c r="AX4" s="10" t="s">
        <v>282</v>
      </c>
      <c r="AY4" s="10" t="s">
        <v>284</v>
      </c>
      <c r="AZ4" s="10" t="s">
        <v>285</v>
      </c>
      <c r="BA4" s="10" t="s">
        <v>287</v>
      </c>
      <c r="BB4" s="10" t="s">
        <v>288</v>
      </c>
      <c r="BC4" s="10" t="s">
        <v>289</v>
      </c>
      <c r="BD4" s="10" t="s">
        <v>290</v>
      </c>
    </row>
    <row r="5" spans="1:56" ht="11.25" customHeight="1" x14ac:dyDescent="0.25">
      <c r="A5" s="103" t="s">
        <v>58</v>
      </c>
      <c r="B5" s="103" t="s">
        <v>63</v>
      </c>
      <c r="C5" s="103" t="s">
        <v>25</v>
      </c>
      <c r="D5" s="103" t="s">
        <v>25</v>
      </c>
      <c r="E5" s="103" t="s">
        <v>25</v>
      </c>
      <c r="F5" s="103" t="s">
        <v>25</v>
      </c>
      <c r="G5" s="24" t="s">
        <v>65</v>
      </c>
      <c r="H5" s="24" t="s">
        <v>64</v>
      </c>
      <c r="I5" s="24">
        <f>'MERCADO TUSD'!$U$2+0.00000001</f>
        <v>1E-8</v>
      </c>
      <c r="J5" s="15"/>
      <c r="L5" s="13">
        <f>('TUSD BE'!$L$5+'TUSD BF'!$L$5+'TUSD CVA'!$L$5)*1</f>
        <v>0</v>
      </c>
      <c r="M5" s="13">
        <f>('TUSD BE'!$M$5+'TUSD BF'!$M$5+'TUSD CVA'!$M$5)*1</f>
        <v>0</v>
      </c>
      <c r="N5" s="13">
        <f ca="1">('TUSD BE'!$N$5+'TUSD BF'!$N$5+'TUSD CVA'!$N$5)*1</f>
        <v>0</v>
      </c>
      <c r="O5" s="13">
        <f>('TUSD BE'!$O$5+'TUSD BF'!$O$5+'TUSD CVA'!$O$5)*1</f>
        <v>0</v>
      </c>
      <c r="P5" s="13">
        <f>('TUSD BE'!$P$5+'TUSD BF'!$P$5+'TUSD CVA'!$P$5)*1</f>
        <v>0</v>
      </c>
      <c r="Q5" s="13">
        <f>('TUSD BE'!$Q$5+'TUSD BF'!$Q$5+'TUSD CVA'!$Q$5)*1</f>
        <v>0</v>
      </c>
      <c r="R5" s="13">
        <f>('TUSD BE'!$R$5+'TUSD BF'!$R$5+'TUSD CVA'!$R$5)*1</f>
        <v>0</v>
      </c>
      <c r="S5" s="13">
        <f>('TUSD BE'!$S$5+'TUSD BF'!$S$5+'TUSD CVA'!$S$5)*1</f>
        <v>0</v>
      </c>
      <c r="T5" s="13">
        <f>('TUSD BE'!$U$5+'TUSD BF'!$U$5+'TUSD CVA'!$U$5)*1</f>
        <v>0</v>
      </c>
      <c r="U5" s="13">
        <f>('TUSD BE'!$V$5+'TUSD BF'!$V$5+'TUSD CVA'!$V$5)*1</f>
        <v>0</v>
      </c>
      <c r="V5" s="13">
        <f>('TUSD BE'!$W$5+'TUSD BF'!$W$5+'TUSD CVA'!$W$5)*1</f>
        <v>0</v>
      </c>
      <c r="W5" s="13">
        <f>('TUSD BE'!$X$5+'TUSD BF'!$X$5+'TUSD CVA'!$X$5)*1</f>
        <v>0</v>
      </c>
      <c r="X5" s="13">
        <f>('TUSD BE'!$Y$5+'TUSD BF'!$Y$5+'TUSD CVA'!$Y$5)*1</f>
        <v>48.093976275137074</v>
      </c>
      <c r="Y5" s="13">
        <f>('TUSD BE'!$Z$5+'TUSD BF'!$Z$5+'TUSD CVA'!$Z$5)*1</f>
        <v>0</v>
      </c>
      <c r="Z5" s="13">
        <f>('TUSD BE'!$AA$5+'TUSD BF'!$AA$5+'TUSD CVA'!$AA$5)*1</f>
        <v>0</v>
      </c>
      <c r="AA5" s="13">
        <f>('TUSD BE'!$AC$5+'TUSD BF'!$AC$5+'TUSD CVA'!$AC$5)*1</f>
        <v>43.387702830038791</v>
      </c>
      <c r="AB5" s="13">
        <f ca="1">('TUSD BE'!$AE$5+'TUSD BF'!$AE$5+'TUSD CVA'!$AE$5)*1</f>
        <v>0</v>
      </c>
      <c r="AC5" s="13">
        <f ca="1">('TUSD BE'!$AF$5+'TUSD BF'!$AF$5+'TUSD CVA'!$AF$5)*1</f>
        <v>0</v>
      </c>
      <c r="AD5" s="13">
        <f>('TUSD BE'!$AH$5+'TUSD BF'!$AH$5+'TUSD CVA'!$AH$5)*1</f>
        <v>0</v>
      </c>
      <c r="AE5" s="13">
        <f>('TUSD BE'!$AI$5+'TUSD BF'!$AI$5+'TUSD CVA'!$AI$5)*1</f>
        <v>0</v>
      </c>
      <c r="AF5" s="13">
        <f ca="1">('TUSD BE'!$AJ$5+'TUSD BF'!$AJ$5+'TUSD CVA'!$AJ$5)*1</f>
        <v>0</v>
      </c>
      <c r="AG5" s="13">
        <f ca="1">('TUSD BE'!$AK$5+'TUSD BF'!$AK$5+'TUSD CVA'!$AK$5)*1</f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1.25" customHeight="1" x14ac:dyDescent="0.25">
      <c r="A6" s="103"/>
      <c r="B6" s="103"/>
      <c r="C6" s="103"/>
      <c r="D6" s="103"/>
      <c r="E6" s="103"/>
      <c r="F6" s="103"/>
      <c r="G6" s="24" t="s">
        <v>66</v>
      </c>
      <c r="H6" s="24" t="s">
        <v>64</v>
      </c>
      <c r="I6" s="24">
        <f>'MERCADO TUSD'!$U$3+0.00000001</f>
        <v>1E-8</v>
      </c>
      <c r="J6" s="15"/>
      <c r="L6" s="13">
        <f>('TUSD BE'!$L$6+'TUSD BF'!$L$6+'TUSD CVA'!$L$6)*1</f>
        <v>0</v>
      </c>
      <c r="M6" s="13">
        <f>('TUSD BE'!$M$6+'TUSD BF'!$M$6+'TUSD CVA'!$M$6)*1</f>
        <v>0</v>
      </c>
      <c r="N6" s="13">
        <f ca="1">('TUSD BE'!$N$6+'TUSD BF'!$N$6+'TUSD CVA'!$N$6)*1</f>
        <v>0</v>
      </c>
      <c r="O6" s="13">
        <f>('TUSD BE'!$O$6+'TUSD BF'!$O$6+'TUSD CVA'!$O$6)*1</f>
        <v>0</v>
      </c>
      <c r="P6" s="13">
        <f>('TUSD BE'!$P$6+'TUSD BF'!$P$6+'TUSD CVA'!$P$6)*1</f>
        <v>0</v>
      </c>
      <c r="Q6" s="13">
        <f>('TUSD BE'!$Q$6+'TUSD BF'!$Q$6+'TUSD CVA'!$Q$6)*1</f>
        <v>0</v>
      </c>
      <c r="R6" s="13">
        <f>('TUSD BE'!$R$6+'TUSD BF'!$R$6+'TUSD CVA'!$R$6)*1</f>
        <v>0</v>
      </c>
      <c r="S6" s="13">
        <f>('TUSD BE'!$S$6+'TUSD BF'!$S$6+'TUSD CVA'!$S$6)*1</f>
        <v>0</v>
      </c>
      <c r="T6" s="13">
        <f>('TUSD BE'!$U$6+'TUSD BF'!$U$6+'TUSD CVA'!$U$6)*1</f>
        <v>0</v>
      </c>
      <c r="U6" s="13">
        <f>('TUSD BE'!$V$6+'TUSD BF'!$V$6+'TUSD CVA'!$V$6)*1</f>
        <v>0</v>
      </c>
      <c r="V6" s="13">
        <f>('TUSD BE'!$W$6+'TUSD BF'!$W$6+'TUSD CVA'!$W$6)*1</f>
        <v>0</v>
      </c>
      <c r="W6" s="13">
        <f>('TUSD BE'!$X$6+'TUSD BF'!$X$6+'TUSD CVA'!$X$6)*1</f>
        <v>0</v>
      </c>
      <c r="X6" s="13">
        <f>('TUSD BE'!$Y$6+'TUSD BF'!$Y$6+'TUSD CVA'!$Y$6)*1</f>
        <v>19.438998422803664</v>
      </c>
      <c r="Y6" s="13">
        <f>('TUSD BE'!$Z$6+'TUSD BF'!$Z$6+'TUSD CVA'!$Z$6)*1</f>
        <v>0</v>
      </c>
      <c r="Z6" s="13">
        <f>('TUSD BE'!$AA$6+'TUSD BF'!$AA$6+'TUSD CVA'!$AA$6)*1</f>
        <v>0</v>
      </c>
      <c r="AA6" s="13">
        <f>('TUSD BE'!$AC$6+'TUSD BF'!$AC$6+'TUSD CVA'!$AC$6)*1</f>
        <v>12.123975664116038</v>
      </c>
      <c r="AB6" s="13">
        <f ca="1">('TUSD BE'!$AE$6+'TUSD BF'!$AE$6+'TUSD CVA'!$AE$6)*1</f>
        <v>0</v>
      </c>
      <c r="AC6" s="13">
        <f ca="1">('TUSD BE'!$AF$6+'TUSD BF'!$AF$6+'TUSD CVA'!$AF$6)*1</f>
        <v>0</v>
      </c>
      <c r="AD6" s="13">
        <f>('TUSD BE'!$AH$6+'TUSD BF'!$AH$6+'TUSD CVA'!$AH$6)*1</f>
        <v>0</v>
      </c>
      <c r="AE6" s="13">
        <f>('TUSD BE'!$AI$6+'TUSD BF'!$AI$6+'TUSD CVA'!$AI$6)*1</f>
        <v>0</v>
      </c>
      <c r="AF6" s="13">
        <f ca="1">('TUSD BE'!$AJ$6+'TUSD BF'!$AJ$6+'TUSD CVA'!$AJ$6)*1</f>
        <v>0</v>
      </c>
      <c r="AG6" s="13">
        <f ca="1">('TUSD BE'!$AK$6+'TUSD BF'!$AK$6+'TUSD CVA'!$AK$6)*1</f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1.25" customHeight="1" x14ac:dyDescent="0.25">
      <c r="A7" s="103"/>
      <c r="B7" s="103"/>
      <c r="C7" s="103"/>
      <c r="D7" s="103"/>
      <c r="E7" s="103"/>
      <c r="F7" s="103"/>
      <c r="G7" s="24" t="s">
        <v>67</v>
      </c>
      <c r="H7" s="24" t="s">
        <v>60</v>
      </c>
      <c r="I7" s="24">
        <f>'MERCADO TUSD'!$U$4+0.00000001</f>
        <v>1E-8</v>
      </c>
      <c r="J7" s="15"/>
      <c r="L7" s="13">
        <f>('TUSD BE'!$L$7+'TUSD BF'!$L$7+'TUSD CVA'!$L$7)*1</f>
        <v>26.057050327736867</v>
      </c>
      <c r="M7" s="13">
        <f>('TUSD BE'!$M$7+'TUSD BF'!$M$7+'TUSD CVA'!$M$7)*1</f>
        <v>4.4513562127626818</v>
      </c>
      <c r="N7" s="13">
        <f ca="1">('TUSD BE'!$N$7+'TUSD BF'!$N$7+'TUSD CVA'!$N$7)*1</f>
        <v>0</v>
      </c>
      <c r="O7" s="13">
        <f>('TUSD BE'!$O$7+'TUSD BF'!$O$7+'TUSD CVA'!$O$7)*1</f>
        <v>0</v>
      </c>
      <c r="P7" s="13">
        <f>('TUSD BE'!$P$7+'TUSD BF'!$P$7+'TUSD CVA'!$P$7)*1</f>
        <v>0</v>
      </c>
      <c r="Q7" s="13">
        <f>('TUSD BE'!$Q$7+'TUSD BF'!$Q$7+'TUSD CVA'!$Q$7)*1</f>
        <v>74.659680035028416</v>
      </c>
      <c r="R7" s="13">
        <f>('TUSD BE'!$R$7+'TUSD BF'!$R$7+'TUSD CVA'!$R$7)*1</f>
        <v>14.060328828195003</v>
      </c>
      <c r="S7" s="13">
        <f>('TUSD BE'!$S$7+'TUSD BF'!$S$7+'TUSD CVA'!$S$7)*1</f>
        <v>0</v>
      </c>
      <c r="T7" s="13">
        <f>('TUSD BE'!$U$7+'TUSD BF'!$U$7+'TUSD CVA'!$U$7)*1</f>
        <v>0</v>
      </c>
      <c r="U7" s="13">
        <f>('TUSD BE'!$V$7+'TUSD BF'!$V$7+'TUSD CVA'!$V$7)*1</f>
        <v>0</v>
      </c>
      <c r="V7" s="13">
        <f>('TUSD BE'!$W$7+'TUSD BF'!$W$7+'TUSD CVA'!$W$7)*1</f>
        <v>0</v>
      </c>
      <c r="W7" s="13">
        <f>('TUSD BE'!$X$7+'TUSD BF'!$X$7+'TUSD CVA'!$X$7)*1</f>
        <v>0</v>
      </c>
      <c r="X7" s="13">
        <f>('TUSD BE'!$Y$7+'TUSD BF'!$Y$7+'TUSD CVA'!$Y$7)*1</f>
        <v>0</v>
      </c>
      <c r="Y7" s="13">
        <f>('TUSD BE'!$Z$7+'TUSD BF'!$Z$7+'TUSD CVA'!$Z$7)*1</f>
        <v>0</v>
      </c>
      <c r="Z7" s="13">
        <f>('TUSD BE'!$AA$7+'TUSD BF'!$AA$7+'TUSD CVA'!$AA$7)*1</f>
        <v>0</v>
      </c>
      <c r="AA7" s="13">
        <f>('TUSD BE'!$AC$7+'TUSD BF'!$AC$7+'TUSD CVA'!$AC$7)*1</f>
        <v>0</v>
      </c>
      <c r="AB7" s="13">
        <f ca="1">('TUSD BE'!$AE$7+'TUSD BF'!$AE$7+'TUSD CVA'!$AE$7)*1</f>
        <v>0</v>
      </c>
      <c r="AC7" s="13">
        <f ca="1">('TUSD BE'!$AF$7+'TUSD BF'!$AF$7+'TUSD CVA'!$AF$7)*1</f>
        <v>0</v>
      </c>
      <c r="AD7" s="13">
        <f>('TUSD BE'!$AH$7+'TUSD BF'!$AH$7+'TUSD CVA'!$AH$7)*1</f>
        <v>4.823284346258224</v>
      </c>
      <c r="AE7" s="13">
        <f>('TUSD BE'!$AI$7+'TUSD BF'!$AI$7+'TUSD CVA'!$AI$7)*1</f>
        <v>0</v>
      </c>
      <c r="AF7" s="13">
        <f ca="1">('TUSD BE'!$AJ$7+'TUSD BF'!$AJ$7+'TUSD CVA'!$AJ$7)*1</f>
        <v>0</v>
      </c>
      <c r="AG7" s="13">
        <f ca="1">('TUSD BE'!$AK$7+'TUSD BF'!$AK$7+'TUSD CVA'!$AK$7)*1</f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</row>
    <row r="8" spans="1:56" ht="11.25" customHeight="1" x14ac:dyDescent="0.25">
      <c r="A8" s="103"/>
      <c r="B8" s="103"/>
      <c r="C8" s="103"/>
      <c r="D8" s="103"/>
      <c r="E8" s="23" t="s">
        <v>68</v>
      </c>
      <c r="F8" s="23" t="s">
        <v>25</v>
      </c>
      <c r="G8" s="24" t="s">
        <v>67</v>
      </c>
      <c r="H8" s="24" t="s">
        <v>60</v>
      </c>
      <c r="I8" s="24">
        <f>'MERCADO TUSD'!$U$5+0.00000001</f>
        <v>1E-8</v>
      </c>
      <c r="J8" s="15"/>
      <c r="L8" s="13">
        <f>('TUSD BE'!$L$8+'TUSD BF'!$L$8+'TUSD CVA'!$L$8)*1</f>
        <v>0</v>
      </c>
      <c r="M8" s="13">
        <f>('TUSD BE'!$M$8+'TUSD BF'!$M$8+'TUSD CVA'!$M$8)*1</f>
        <v>4.4513562127626818</v>
      </c>
      <c r="N8" s="13">
        <f ca="1">('TUSD BE'!$N$8+'TUSD BF'!$N$8+'TUSD CVA'!$N$8)*1</f>
        <v>0</v>
      </c>
      <c r="O8" s="13">
        <f>('TUSD BE'!$O$8+'TUSD BF'!$O$8+'TUSD CVA'!$O$8)*1</f>
        <v>0</v>
      </c>
      <c r="P8" s="13">
        <f>('TUSD BE'!$P$8+'TUSD BF'!$P$8+'TUSD CVA'!$P$8)*1</f>
        <v>0</v>
      </c>
      <c r="Q8" s="13">
        <f>('TUSD BE'!$Q$8+'TUSD BF'!$Q$8+'TUSD CVA'!$Q$8)*1</f>
        <v>0</v>
      </c>
      <c r="R8" s="13">
        <f>('TUSD BE'!$R$8+'TUSD BF'!$R$8+'TUSD CVA'!$R$8)*1</f>
        <v>0</v>
      </c>
      <c r="S8" s="13">
        <f>('TUSD BE'!$S$8+'TUSD BF'!$S$8+'TUSD CVA'!$S$8)*1</f>
        <v>0</v>
      </c>
      <c r="T8" s="13">
        <f>('TUSD BE'!$U$8+'TUSD BF'!$U$8+'TUSD CVA'!$U$8)*1</f>
        <v>0</v>
      </c>
      <c r="U8" s="13">
        <f>('TUSD BE'!$V$8+'TUSD BF'!$V$8+'TUSD CVA'!$V$8)*1</f>
        <v>0</v>
      </c>
      <c r="V8" s="13">
        <f>('TUSD BE'!$W$8+'TUSD BF'!$W$8+'TUSD CVA'!$W$8)*1</f>
        <v>0</v>
      </c>
      <c r="W8" s="13">
        <f>('TUSD BE'!$X$8+'TUSD BF'!$X$8+'TUSD CVA'!$X$8)*1</f>
        <v>0</v>
      </c>
      <c r="X8" s="13">
        <f>('TUSD BE'!$Y$8+'TUSD BF'!$Y$8+'TUSD CVA'!$Y$8)*1</f>
        <v>0</v>
      </c>
      <c r="Y8" s="13">
        <f>('TUSD BE'!$Z$8+'TUSD BF'!$Z$8+'TUSD CVA'!$Z$8)*1</f>
        <v>0</v>
      </c>
      <c r="Z8" s="13">
        <f>('TUSD BE'!$AA$8+'TUSD BF'!$AA$8+'TUSD CVA'!$AA$8)*1</f>
        <v>0</v>
      </c>
      <c r="AA8" s="13">
        <f>('TUSD BE'!$AC$8+'TUSD BF'!$AC$8+'TUSD CVA'!$AC$8)*1</f>
        <v>0</v>
      </c>
      <c r="AB8" s="13">
        <f ca="1">('TUSD BE'!$AE$8+'TUSD BF'!$AE$8+'TUSD CVA'!$AE$8)*1</f>
        <v>0</v>
      </c>
      <c r="AC8" s="13">
        <f ca="1">('TUSD BE'!$AF$8+'TUSD BF'!$AF$8+'TUSD CVA'!$AF$8)*1</f>
        <v>0</v>
      </c>
      <c r="AD8" s="13">
        <f>('TUSD BE'!$AH$8+'TUSD BF'!$AH$8+'TUSD CVA'!$AH$8)*1</f>
        <v>4.823284346258224</v>
      </c>
      <c r="AE8" s="13">
        <f>('TUSD BE'!$AI$8+'TUSD BF'!$AI$8+'TUSD CVA'!$AI$8)*1</f>
        <v>0</v>
      </c>
      <c r="AF8" s="13">
        <f ca="1">('TUSD BE'!$AJ$8+'TUSD BF'!$AJ$8+'TUSD CVA'!$AJ$8)*1</f>
        <v>0</v>
      </c>
      <c r="AG8" s="13">
        <f ca="1">('TUSD BE'!$AK$8+'TUSD BF'!$AK$8+'TUSD CVA'!$AK$8)*1</f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</row>
    <row r="9" spans="1:56" ht="11.25" customHeight="1" x14ac:dyDescent="0.25">
      <c r="A9" s="103"/>
      <c r="B9" s="23" t="s">
        <v>69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64</v>
      </c>
      <c r="I9" s="24">
        <f>'MERCADO TUSD'!$U$6+0.00000001</f>
        <v>1E-8</v>
      </c>
      <c r="J9" s="15"/>
      <c r="L9" s="13">
        <f>('TUSD BE'!$L$9+'TUSD BF'!$L$9+'TUSD CVA'!$L$9)*1</f>
        <v>0</v>
      </c>
      <c r="M9" s="13">
        <f>('TUSD BE'!$M$9+'TUSD BF'!$M$9+'TUSD CVA'!$M$9)*1</f>
        <v>1.0098136210659333E-2</v>
      </c>
      <c r="N9" s="13">
        <f ca="1">('TUSD BE'!$N$9+'TUSD BF'!$N$9+'TUSD CVA'!$N$9)*1</f>
        <v>0</v>
      </c>
      <c r="O9" s="13">
        <f>('TUSD BE'!$O$9+'TUSD BF'!$O$9+'TUSD CVA'!$O$9)*1</f>
        <v>0</v>
      </c>
      <c r="P9" s="13">
        <f>('TUSD BE'!$P$9+'TUSD BF'!$P$9+'TUSD CVA'!$P$9)*1</f>
        <v>0</v>
      </c>
      <c r="Q9" s="13">
        <f>('TUSD BE'!$Q$9+'TUSD BF'!$Q$9+'TUSD CVA'!$Q$9)*1</f>
        <v>0</v>
      </c>
      <c r="R9" s="13">
        <f>('TUSD BE'!$R$9+'TUSD BF'!$R$9+'TUSD CVA'!$R$9)*1</f>
        <v>0</v>
      </c>
      <c r="S9" s="13">
        <f>('TUSD BE'!$S$9+'TUSD BF'!$S$9+'TUSD CVA'!$S$9)*1</f>
        <v>0</v>
      </c>
      <c r="T9" s="13">
        <f>('TUSD BE'!$U$9+'TUSD BF'!$U$9+'TUSD CVA'!$U$9)*1</f>
        <v>0</v>
      </c>
      <c r="U9" s="13">
        <f>('TUSD BE'!$V$9+'TUSD BF'!$V$9+'TUSD CVA'!$V$9)*1</f>
        <v>0</v>
      </c>
      <c r="V9" s="13">
        <f>('TUSD BE'!$W$9+'TUSD BF'!$W$9+'TUSD CVA'!$W$9)*1</f>
        <v>0</v>
      </c>
      <c r="W9" s="13">
        <f>('TUSD BE'!$X$9+'TUSD BF'!$X$9+'TUSD CVA'!$X$9)*1</f>
        <v>0</v>
      </c>
      <c r="X9" s="13">
        <f>('TUSD BE'!$Y$9+'TUSD BF'!$Y$9+'TUSD CVA'!$Y$9)*1</f>
        <v>0</v>
      </c>
      <c r="Y9" s="13">
        <f>('TUSD BE'!$Z$9+'TUSD BF'!$Z$9+'TUSD CVA'!$Z$9)*1</f>
        <v>0</v>
      </c>
      <c r="Z9" s="13">
        <f>('TUSD BE'!$AA$9+'TUSD BF'!$AA$9+'TUSD CVA'!$AA$9)*1</f>
        <v>0</v>
      </c>
      <c r="AA9" s="13">
        <f>('TUSD BE'!$AC$9+'TUSD BF'!$AC$9+'TUSD CVA'!$AC$9)*1</f>
        <v>5.4849298677658069</v>
      </c>
      <c r="AB9" s="13">
        <f ca="1">('TUSD BE'!$AE$9+'TUSD BF'!$AE$9+'TUSD CVA'!$AE$9)*1</f>
        <v>0</v>
      </c>
      <c r="AC9" s="13">
        <f ca="1">('TUSD BE'!$AF$9+'TUSD BF'!$AF$9+'TUSD CVA'!$AF$9)*1</f>
        <v>0</v>
      </c>
      <c r="AD9" s="13">
        <f>('TUSD BE'!$AH$9+'TUSD BF'!$AH$9+'TUSD CVA'!$AH$9)*1</f>
        <v>0</v>
      </c>
      <c r="AE9" s="13">
        <f>('TUSD BE'!$AI$9+'TUSD BF'!$AI$9+'TUSD CVA'!$AI$9)*1</f>
        <v>0</v>
      </c>
      <c r="AF9" s="13">
        <f ca="1">('TUSD BE'!$AJ$9+'TUSD BF'!$AJ$9+'TUSD CVA'!$AJ$9)*1</f>
        <v>0</v>
      </c>
      <c r="AG9" s="13">
        <f ca="1">('TUSD BE'!$AK$9+'TUSD BF'!$AK$9+'TUSD CVA'!$AK$9)*1</f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</row>
    <row r="10" spans="1:56" ht="11.25" customHeight="1" x14ac:dyDescent="0.25">
      <c r="A10" s="103"/>
      <c r="B10" s="103" t="s">
        <v>70</v>
      </c>
      <c r="C10" s="103" t="s">
        <v>25</v>
      </c>
      <c r="D10" s="103" t="s">
        <v>25</v>
      </c>
      <c r="E10" s="103" t="s">
        <v>25</v>
      </c>
      <c r="F10" s="103" t="s">
        <v>25</v>
      </c>
      <c r="G10" s="24" t="s">
        <v>9</v>
      </c>
      <c r="H10" s="24" t="s">
        <v>64</v>
      </c>
      <c r="I10" s="24">
        <f>'MERCADO TUSD'!$U$7+0.00000001</f>
        <v>1E-8</v>
      </c>
      <c r="J10" s="15"/>
      <c r="L10" s="13">
        <f>('TUSD BE'!$L$10+'TUSD BF'!$L$10+'TUSD CVA'!$L$10)*1</f>
        <v>0</v>
      </c>
      <c r="M10" s="13">
        <f>('TUSD BE'!$M$10+'TUSD BF'!$M$10+'TUSD CVA'!$M$10)*1</f>
        <v>0</v>
      </c>
      <c r="N10" s="13">
        <f ca="1">('TUSD BE'!$N$10+'TUSD BF'!$N$10+'TUSD CVA'!$N$10)*1</f>
        <v>0</v>
      </c>
      <c r="O10" s="13">
        <f>('TUSD BE'!$O$10+'TUSD BF'!$O$10+'TUSD CVA'!$O$10)*1</f>
        <v>0</v>
      </c>
      <c r="P10" s="13">
        <f>('TUSD BE'!$P$10+'TUSD BF'!$P$10+'TUSD CVA'!$P$10)*1</f>
        <v>0</v>
      </c>
      <c r="Q10" s="13">
        <f>('TUSD BE'!$Q$10+'TUSD BF'!$Q$10+'TUSD CVA'!$Q$10)*1</f>
        <v>0</v>
      </c>
      <c r="R10" s="13">
        <f>('TUSD BE'!$R$10+'TUSD BF'!$R$10+'TUSD CVA'!$R$10)*1</f>
        <v>0</v>
      </c>
      <c r="S10" s="13">
        <f>('TUSD BE'!$S$10+'TUSD BF'!$S$10+'TUSD CVA'!$S$10)*1</f>
        <v>0</v>
      </c>
      <c r="T10" s="13">
        <f>('TUSD BE'!$U$10+'TUSD BF'!$U$10+'TUSD CVA'!$U$10)*1</f>
        <v>0</v>
      </c>
      <c r="U10" s="13">
        <f>('TUSD BE'!$V$10+'TUSD BF'!$V$10+'TUSD CVA'!$V$10)*1</f>
        <v>0</v>
      </c>
      <c r="V10" s="13">
        <f>('TUSD BE'!$W$10+'TUSD BF'!$W$10+'TUSD CVA'!$W$10)*1</f>
        <v>0</v>
      </c>
      <c r="W10" s="13">
        <f>('TUSD BE'!$X$10+'TUSD BF'!$X$10+'TUSD CVA'!$X$10)*1</f>
        <v>0</v>
      </c>
      <c r="X10" s="13">
        <f>('TUSD BE'!$Y$10+'TUSD BF'!$Y$10+'TUSD CVA'!$Y$10)*1</f>
        <v>19.438998422803664</v>
      </c>
      <c r="Y10" s="13">
        <f>('TUSD BE'!$Z$10+'TUSD BF'!$Z$10+'TUSD CVA'!$Z$10)*1</f>
        <v>0</v>
      </c>
      <c r="Z10" s="13">
        <f>('TUSD BE'!$AA$10+'TUSD BF'!$AA$10+'TUSD CVA'!$AA$10)*1</f>
        <v>0</v>
      </c>
      <c r="AA10" s="13">
        <f>('TUSD BE'!$AC$10+'TUSD BF'!$AC$10+'TUSD CVA'!$AC$10)*1</f>
        <v>12.123975664116038</v>
      </c>
      <c r="AB10" s="13">
        <f ca="1">('TUSD BE'!$AE$10+'TUSD BF'!$AE$10+'TUSD CVA'!$AE$10)*1</f>
        <v>0</v>
      </c>
      <c r="AC10" s="13">
        <f ca="1">('TUSD BE'!$AF$10+'TUSD BF'!$AF$10+'TUSD CVA'!$AF$10)*1</f>
        <v>0</v>
      </c>
      <c r="AD10" s="13">
        <f>('TUSD BE'!$AH$10+'TUSD BF'!$AH$10+'TUSD CVA'!$AH$10)*1</f>
        <v>0</v>
      </c>
      <c r="AE10" s="13">
        <f>('TUSD BE'!$AI$10+'TUSD BF'!$AI$10+'TUSD CVA'!$AI$10)*1</f>
        <v>0</v>
      </c>
      <c r="AF10" s="13">
        <f ca="1">('TUSD BE'!$AJ$10+'TUSD BF'!$AJ$10+'TUSD CVA'!$AJ$10)*1</f>
        <v>0</v>
      </c>
      <c r="AG10" s="13">
        <f ca="1">('TUSD BE'!$AK$10+'TUSD BF'!$AK$10+'TUSD CVA'!$AK$10)*1</f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</row>
    <row r="11" spans="1:56" ht="11.25" customHeight="1" x14ac:dyDescent="0.25">
      <c r="A11" s="103"/>
      <c r="B11" s="103"/>
      <c r="C11" s="103"/>
      <c r="D11" s="103"/>
      <c r="E11" s="103"/>
      <c r="F11" s="103"/>
      <c r="G11" s="24" t="s">
        <v>61</v>
      </c>
      <c r="H11" s="24" t="s">
        <v>60</v>
      </c>
      <c r="I11" s="24">
        <f>'MERCADO TUSD'!$U$8+0.00000001</f>
        <v>1E-8</v>
      </c>
      <c r="J11" s="15"/>
      <c r="L11" s="13">
        <f>('TUSD BE'!$L$11+'TUSD BF'!$L$11+'TUSD CVA'!$L$11)*1</f>
        <v>26.057050327736867</v>
      </c>
      <c r="M11" s="13">
        <f>('TUSD BE'!$M$11+'TUSD BF'!$M$11+'TUSD CVA'!$M$11)*1</f>
        <v>4.4513562127626818</v>
      </c>
      <c r="N11" s="13">
        <f ca="1">('TUSD BE'!$N$11+'TUSD BF'!$N$11+'TUSD CVA'!$N$11)*1</f>
        <v>0</v>
      </c>
      <c r="O11" s="13">
        <f>('TUSD BE'!$O$11+'TUSD BF'!$O$11+'TUSD CVA'!$O$11)*1</f>
        <v>0</v>
      </c>
      <c r="P11" s="13">
        <f>('TUSD BE'!$P$11+'TUSD BF'!$P$11+'TUSD CVA'!$P$11)*1</f>
        <v>0</v>
      </c>
      <c r="Q11" s="13">
        <f>('TUSD BE'!$Q$11+'TUSD BF'!$Q$11+'TUSD CVA'!$Q$11)*1</f>
        <v>74.659680035028416</v>
      </c>
      <c r="R11" s="13">
        <f>('TUSD BE'!$R$11+'TUSD BF'!$R$11+'TUSD CVA'!$R$11)*1</f>
        <v>14.060328828195003</v>
      </c>
      <c r="S11" s="13">
        <f>('TUSD BE'!$S$11+'TUSD BF'!$S$11+'TUSD CVA'!$S$11)*1</f>
        <v>0</v>
      </c>
      <c r="T11" s="13">
        <f>('TUSD BE'!$U$11+'TUSD BF'!$U$11+'TUSD CVA'!$U$11)*1</f>
        <v>0</v>
      </c>
      <c r="U11" s="13">
        <f>('TUSD BE'!$V$11+'TUSD BF'!$V$11+'TUSD CVA'!$V$11)*1</f>
        <v>0</v>
      </c>
      <c r="V11" s="13">
        <f>('TUSD BE'!$W$11+'TUSD BF'!$W$11+'TUSD CVA'!$W$11)*1</f>
        <v>0</v>
      </c>
      <c r="W11" s="13">
        <f>('TUSD BE'!$X$11+'TUSD BF'!$X$11+'TUSD CVA'!$X$11)*1</f>
        <v>0</v>
      </c>
      <c r="X11" s="13">
        <f>('TUSD BE'!$Y$11+'TUSD BF'!$Y$11+'TUSD CVA'!$Y$11)*1</f>
        <v>1157.1220953737027</v>
      </c>
      <c r="Y11" s="13">
        <f>('TUSD BE'!$Z$11+'TUSD BF'!$Z$11+'TUSD CVA'!$Z$11)*1</f>
        <v>0</v>
      </c>
      <c r="Z11" s="13">
        <f>('TUSD BE'!$AA$11+'TUSD BF'!$AA$11+'TUSD CVA'!$AA$11)*1</f>
        <v>0</v>
      </c>
      <c r="AA11" s="13">
        <f>('TUSD BE'!$AC$11+'TUSD BF'!$AC$11+'TUSD CVA'!$AC$11)*1</f>
        <v>1043.4750194992232</v>
      </c>
      <c r="AB11" s="13">
        <f ca="1">('TUSD BE'!$AE$11+'TUSD BF'!$AE$11+'TUSD CVA'!$AE$11)*1</f>
        <v>0</v>
      </c>
      <c r="AC11" s="13">
        <f ca="1">('TUSD BE'!$AF$11+'TUSD BF'!$AF$11+'TUSD CVA'!$AF$11)*1</f>
        <v>0</v>
      </c>
      <c r="AD11" s="13">
        <f>('TUSD BE'!$AH$11+'TUSD BF'!$AH$11+'TUSD CVA'!$AH$11)*1</f>
        <v>4.823284346258224</v>
      </c>
      <c r="AE11" s="13">
        <f>('TUSD BE'!$AI$11+'TUSD BF'!$AI$11+'TUSD CVA'!$AI$11)*1</f>
        <v>0</v>
      </c>
      <c r="AF11" s="13">
        <f ca="1">('TUSD BE'!$AJ$11+'TUSD BF'!$AJ$11+'TUSD CVA'!$AJ$11)*1</f>
        <v>0</v>
      </c>
      <c r="AG11" s="13">
        <f ca="1">('TUSD BE'!$AK$11+'TUSD BF'!$AK$11+'TUSD CVA'!$AK$11)*1</f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</row>
    <row r="12" spans="1:56" ht="11.25" customHeight="1" x14ac:dyDescent="0.25">
      <c r="A12" s="103"/>
      <c r="B12" s="103"/>
      <c r="C12" s="103"/>
      <c r="D12" s="103"/>
      <c r="E12" s="103"/>
      <c r="F12" s="103"/>
      <c r="G12" s="24" t="s">
        <v>62</v>
      </c>
      <c r="H12" s="24" t="s">
        <v>60</v>
      </c>
      <c r="I12" s="24">
        <f>'MERCADO TUSD'!$U$9+0.00000001</f>
        <v>1E-8</v>
      </c>
      <c r="J12" s="15"/>
      <c r="L12" s="13">
        <f>('TUSD BE'!$L$12+'TUSD BF'!$L$12+'TUSD CVA'!$L$12)*1</f>
        <v>26.057050327736867</v>
      </c>
      <c r="M12" s="13">
        <f>('TUSD BE'!$M$12+'TUSD BF'!$M$12+'TUSD CVA'!$M$12)*1</f>
        <v>4.4513562127626818</v>
      </c>
      <c r="N12" s="13">
        <f ca="1">('TUSD BE'!$N$12+'TUSD BF'!$N$12+'TUSD CVA'!$N$12)*1</f>
        <v>0</v>
      </c>
      <c r="O12" s="13">
        <f>('TUSD BE'!$O$12+'TUSD BF'!$O$12+'TUSD CVA'!$O$12)*1</f>
        <v>0</v>
      </c>
      <c r="P12" s="13">
        <f>('TUSD BE'!$P$12+'TUSD BF'!$P$12+'TUSD CVA'!$P$12)*1</f>
        <v>0</v>
      </c>
      <c r="Q12" s="13">
        <f>('TUSD BE'!$Q$12+'TUSD BF'!$Q$12+'TUSD CVA'!$Q$12)*1</f>
        <v>74.659680035028416</v>
      </c>
      <c r="R12" s="13">
        <f>('TUSD BE'!$R$12+'TUSD BF'!$R$12+'TUSD CVA'!$R$12)*1</f>
        <v>14.060328828195003</v>
      </c>
      <c r="S12" s="13">
        <f>('TUSD BE'!$S$12+'TUSD BF'!$S$12+'TUSD CVA'!$S$12)*1</f>
        <v>0</v>
      </c>
      <c r="T12" s="13">
        <f>('TUSD BE'!$U$12+'TUSD BF'!$U$12+'TUSD CVA'!$U$12)*1</f>
        <v>0</v>
      </c>
      <c r="U12" s="13">
        <f>('TUSD BE'!$V$12+'TUSD BF'!$V$12+'TUSD CVA'!$V$12)*1</f>
        <v>0</v>
      </c>
      <c r="V12" s="13">
        <f>('TUSD BE'!$W$12+'TUSD BF'!$W$12+'TUSD CVA'!$W$12)*1</f>
        <v>0</v>
      </c>
      <c r="W12" s="13">
        <f>('TUSD BE'!$X$12+'TUSD BF'!$X$12+'TUSD CVA'!$X$12)*1</f>
        <v>0</v>
      </c>
      <c r="X12" s="13">
        <f>('TUSD BE'!$Y$12+'TUSD BF'!$Y$12+'TUSD CVA'!$Y$12)*1</f>
        <v>0</v>
      </c>
      <c r="Y12" s="13">
        <f>('TUSD BE'!$Z$12+'TUSD BF'!$Z$12+'TUSD CVA'!$Z$12)*1</f>
        <v>0</v>
      </c>
      <c r="Z12" s="13">
        <f>('TUSD BE'!$AA$12+'TUSD BF'!$AA$12+'TUSD CVA'!$AA$12)*1</f>
        <v>0</v>
      </c>
      <c r="AA12" s="13">
        <f>('TUSD BE'!$AC$12+'TUSD BF'!$AC$12+'TUSD CVA'!$AC$12)*1</f>
        <v>0</v>
      </c>
      <c r="AB12" s="13">
        <f ca="1">('TUSD BE'!$AE$12+'TUSD BF'!$AE$12+'TUSD CVA'!$AE$12)*1</f>
        <v>0</v>
      </c>
      <c r="AC12" s="13">
        <f ca="1">('TUSD BE'!$AF$12+'TUSD BF'!$AF$12+'TUSD CVA'!$AF$12)*1</f>
        <v>0</v>
      </c>
      <c r="AD12" s="13">
        <f>('TUSD BE'!$AH$12+'TUSD BF'!$AH$12+'TUSD CVA'!$AH$12)*1</f>
        <v>4.823284346258224</v>
      </c>
      <c r="AE12" s="13">
        <f>('TUSD BE'!$AI$12+'TUSD BF'!$AI$12+'TUSD CVA'!$AI$12)*1</f>
        <v>0</v>
      </c>
      <c r="AF12" s="13">
        <f ca="1">('TUSD BE'!$AJ$12+'TUSD BF'!$AJ$12+'TUSD CVA'!$AJ$12)*1</f>
        <v>0</v>
      </c>
      <c r="AG12" s="13">
        <f ca="1">('TUSD BE'!$AK$12+'TUSD BF'!$AK$12+'TUSD CVA'!$AK$12)*1</f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</row>
    <row r="13" spans="1:56" ht="11.25" customHeight="1" x14ac:dyDescent="0.25">
      <c r="A13" s="103"/>
      <c r="B13" s="103"/>
      <c r="C13" s="103"/>
      <c r="D13" s="103"/>
      <c r="E13" s="103" t="s">
        <v>68</v>
      </c>
      <c r="F13" s="103" t="s">
        <v>25</v>
      </c>
      <c r="G13" s="24" t="s">
        <v>61</v>
      </c>
      <c r="H13" s="24" t="s">
        <v>60</v>
      </c>
      <c r="I13" s="24">
        <f>'MERCADO TUSD'!$U$10+0.00000001</f>
        <v>1E-8</v>
      </c>
      <c r="J13" s="15"/>
      <c r="L13" s="13">
        <f>('TUSD BE'!$L$13+'TUSD BF'!$L$13+'TUSD CVA'!$L$13)*1</f>
        <v>0</v>
      </c>
      <c r="M13" s="13">
        <f>('TUSD BE'!$M$13+'TUSD BF'!$M$13+'TUSD CVA'!$M$13)*1</f>
        <v>4.4513562127626818</v>
      </c>
      <c r="N13" s="13">
        <f ca="1">('TUSD BE'!$N$13+'TUSD BF'!$N$13+'TUSD CVA'!$N$13)*1</f>
        <v>0</v>
      </c>
      <c r="O13" s="13">
        <f>('TUSD BE'!$O$13+'TUSD BF'!$O$13+'TUSD CVA'!$O$13)*1</f>
        <v>0</v>
      </c>
      <c r="P13" s="13">
        <f>('TUSD BE'!$P$13+'TUSD BF'!$P$13+'TUSD CVA'!$P$13)*1</f>
        <v>0</v>
      </c>
      <c r="Q13" s="13">
        <f>('TUSD BE'!$Q$13+'TUSD BF'!$Q$13+'TUSD CVA'!$Q$13)*1</f>
        <v>0</v>
      </c>
      <c r="R13" s="13">
        <f>('TUSD BE'!$R$13+'TUSD BF'!$R$13+'TUSD CVA'!$R$13)*1</f>
        <v>0</v>
      </c>
      <c r="S13" s="13">
        <f>('TUSD BE'!$S$13+'TUSD BF'!$S$13+'TUSD CVA'!$S$13)*1</f>
        <v>0</v>
      </c>
      <c r="T13" s="13">
        <f>('TUSD BE'!$U$13+'TUSD BF'!$U$13+'TUSD CVA'!$U$13)*1</f>
        <v>0</v>
      </c>
      <c r="U13" s="13">
        <f>('TUSD BE'!$V$13+'TUSD BF'!$V$13+'TUSD CVA'!$V$13)*1</f>
        <v>0</v>
      </c>
      <c r="V13" s="13">
        <f>('TUSD BE'!$W$13+'TUSD BF'!$W$13+'TUSD CVA'!$W$13)*1</f>
        <v>0</v>
      </c>
      <c r="W13" s="13">
        <f>('TUSD BE'!$X$13+'TUSD BF'!$X$13+'TUSD CVA'!$X$13)*1</f>
        <v>0</v>
      </c>
      <c r="X13" s="13">
        <f>('TUSD BE'!$Y$13+'TUSD BF'!$Y$13+'TUSD CVA'!$Y$13)*1</f>
        <v>1157.1220953737027</v>
      </c>
      <c r="Y13" s="13">
        <f>('TUSD BE'!$Z$13+'TUSD BF'!$Z$13+'TUSD CVA'!$Z$13)*1</f>
        <v>0</v>
      </c>
      <c r="Z13" s="13">
        <f>('TUSD BE'!$AA$13+'TUSD BF'!$AA$13+'TUSD CVA'!$AA$13)*1</f>
        <v>0</v>
      </c>
      <c r="AA13" s="13">
        <f>('TUSD BE'!$AC$13+'TUSD BF'!$AC$13+'TUSD CVA'!$AC$13)*1</f>
        <v>1043.4750194992232</v>
      </c>
      <c r="AB13" s="13">
        <f ca="1">('TUSD BE'!$AE$13+'TUSD BF'!$AE$13+'TUSD CVA'!$AE$13)*1</f>
        <v>0</v>
      </c>
      <c r="AC13" s="13">
        <f ca="1">('TUSD BE'!$AF$13+'TUSD BF'!$AF$13+'TUSD CVA'!$AF$13)*1</f>
        <v>0</v>
      </c>
      <c r="AD13" s="13">
        <f>('TUSD BE'!$AH$13+'TUSD BF'!$AH$13+'TUSD CVA'!$AH$13)*1</f>
        <v>4.823284346258224</v>
      </c>
      <c r="AE13" s="13">
        <f>('TUSD BE'!$AI$13+'TUSD BF'!$AI$13+'TUSD CVA'!$AI$13)*1</f>
        <v>0</v>
      </c>
      <c r="AF13" s="13">
        <f ca="1">('TUSD BE'!$AJ$13+'TUSD BF'!$AJ$13+'TUSD CVA'!$AJ$13)*1</f>
        <v>0</v>
      </c>
      <c r="AG13" s="13">
        <f ca="1">('TUSD BE'!$AK$13+'TUSD BF'!$AK$13+'TUSD CVA'!$AK$13)*1</f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</row>
    <row r="14" spans="1:56" ht="11.25" customHeight="1" x14ac:dyDescent="0.25">
      <c r="A14" s="103"/>
      <c r="B14" s="103"/>
      <c r="C14" s="103"/>
      <c r="D14" s="103"/>
      <c r="E14" s="103"/>
      <c r="F14" s="103"/>
      <c r="G14" s="24" t="s">
        <v>62</v>
      </c>
      <c r="H14" s="24" t="s">
        <v>60</v>
      </c>
      <c r="I14" s="24">
        <f>'MERCADO TUSD'!$U$11+0.00000001</f>
        <v>1E-8</v>
      </c>
      <c r="J14" s="15"/>
      <c r="L14" s="13">
        <f>('TUSD BE'!$L$14+'TUSD BF'!$L$14+'TUSD CVA'!$L$14)*1</f>
        <v>0</v>
      </c>
      <c r="M14" s="13">
        <f>('TUSD BE'!$M$14+'TUSD BF'!$M$14+'TUSD CVA'!$M$14)*1</f>
        <v>4.4513562127626818</v>
      </c>
      <c r="N14" s="13">
        <f ca="1">('TUSD BE'!$N$14+'TUSD BF'!$N$14+'TUSD CVA'!$N$14)*1</f>
        <v>0</v>
      </c>
      <c r="O14" s="13">
        <f>('TUSD BE'!$O$14+'TUSD BF'!$O$14+'TUSD CVA'!$O$14)*1</f>
        <v>0</v>
      </c>
      <c r="P14" s="13">
        <f>('TUSD BE'!$P$14+'TUSD BF'!$P$14+'TUSD CVA'!$P$14)*1</f>
        <v>0</v>
      </c>
      <c r="Q14" s="13">
        <f>('TUSD BE'!$Q$14+'TUSD BF'!$Q$14+'TUSD CVA'!$Q$14)*1</f>
        <v>0</v>
      </c>
      <c r="R14" s="13">
        <f>('TUSD BE'!$R$14+'TUSD BF'!$R$14+'TUSD CVA'!$R$14)*1</f>
        <v>0</v>
      </c>
      <c r="S14" s="13">
        <f>('TUSD BE'!$S$14+'TUSD BF'!$S$14+'TUSD CVA'!$S$14)*1</f>
        <v>0</v>
      </c>
      <c r="T14" s="13">
        <f>('TUSD BE'!$U$14+'TUSD BF'!$U$14+'TUSD CVA'!$U$14)*1</f>
        <v>0</v>
      </c>
      <c r="U14" s="13">
        <f>('TUSD BE'!$V$14+'TUSD BF'!$V$14+'TUSD CVA'!$V$14)*1</f>
        <v>0</v>
      </c>
      <c r="V14" s="13">
        <f>('TUSD BE'!$W$14+'TUSD BF'!$W$14+'TUSD CVA'!$W$14)*1</f>
        <v>0</v>
      </c>
      <c r="W14" s="13">
        <f>('TUSD BE'!$X$14+'TUSD BF'!$X$14+'TUSD CVA'!$X$14)*1</f>
        <v>0</v>
      </c>
      <c r="X14" s="13">
        <f>('TUSD BE'!$Y$14+'TUSD BF'!$Y$14+'TUSD CVA'!$Y$14)*1</f>
        <v>0</v>
      </c>
      <c r="Y14" s="13">
        <f>('TUSD BE'!$Z$14+'TUSD BF'!$Z$14+'TUSD CVA'!$Z$14)*1</f>
        <v>0</v>
      </c>
      <c r="Z14" s="13">
        <f>('TUSD BE'!$AA$14+'TUSD BF'!$AA$14+'TUSD CVA'!$AA$14)*1</f>
        <v>0</v>
      </c>
      <c r="AA14" s="13">
        <f>('TUSD BE'!$AC$14+'TUSD BF'!$AC$14+'TUSD CVA'!$AC$14)*1</f>
        <v>0</v>
      </c>
      <c r="AB14" s="13">
        <f ca="1">('TUSD BE'!$AE$14+'TUSD BF'!$AE$14+'TUSD CVA'!$AE$14)*1</f>
        <v>0</v>
      </c>
      <c r="AC14" s="13">
        <f ca="1">('TUSD BE'!$AF$14+'TUSD BF'!$AF$14+'TUSD CVA'!$AF$14)*1</f>
        <v>0</v>
      </c>
      <c r="AD14" s="13">
        <f>('TUSD BE'!$AH$14+'TUSD BF'!$AH$14+'TUSD CVA'!$AH$14)*1</f>
        <v>4.823284346258224</v>
      </c>
      <c r="AE14" s="13">
        <f>('TUSD BE'!$AI$14+'TUSD BF'!$AI$14+'TUSD CVA'!$AI$14)*1</f>
        <v>0</v>
      </c>
      <c r="AF14" s="13">
        <f ca="1">('TUSD BE'!$AJ$14+'TUSD BF'!$AJ$14+'TUSD CVA'!$AJ$14)*1</f>
        <v>0</v>
      </c>
      <c r="AG14" s="13">
        <f ca="1">('TUSD BE'!$AK$14+'TUSD BF'!$AK$14+'TUSD CVA'!$AK$14)*1</f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</row>
    <row r="15" spans="1:56" ht="11.25" customHeight="1" x14ac:dyDescent="0.25">
      <c r="A15" s="103" t="s">
        <v>71</v>
      </c>
      <c r="B15" s="103" t="s">
        <v>69</v>
      </c>
      <c r="C15" s="103" t="s">
        <v>25</v>
      </c>
      <c r="D15" s="103" t="s">
        <v>25</v>
      </c>
      <c r="E15" s="23" t="s">
        <v>72</v>
      </c>
      <c r="F15" s="23" t="s">
        <v>25</v>
      </c>
      <c r="G15" s="24" t="s">
        <v>9</v>
      </c>
      <c r="H15" s="24" t="s">
        <v>64</v>
      </c>
      <c r="I15" s="24">
        <f>'MERCADO TUSD'!$U$12+0.00000001</f>
        <v>1E-8</v>
      </c>
      <c r="J15" s="15"/>
      <c r="L15" s="13">
        <f>('TUSD BE'!$L$15+'TUSD BF'!$L$15+'TUSD CVA'!$L$15)*1</f>
        <v>0</v>
      </c>
      <c r="M15" s="13">
        <f>('TUSD BE'!$M$15+'TUSD BF'!$M$15+'TUSD CVA'!$M$15)*1</f>
        <v>1.0392256682814459E-2</v>
      </c>
      <c r="N15" s="13">
        <f ca="1">('TUSD BE'!$N$15+'TUSD BF'!$N$15+'TUSD CVA'!$N$15)*1</f>
        <v>0</v>
      </c>
      <c r="O15" s="13">
        <f>('TUSD BE'!$O$15+'TUSD BF'!$O$15+'TUSD CVA'!$O$15)*1</f>
        <v>0</v>
      </c>
      <c r="P15" s="13">
        <f>('TUSD BE'!$P$15+'TUSD BF'!$P$15+'TUSD CVA'!$P$15)*1</f>
        <v>0</v>
      </c>
      <c r="Q15" s="13">
        <f>('TUSD BE'!$Q$15+'TUSD BF'!$Q$15+'TUSD CVA'!$Q$15)*1</f>
        <v>0</v>
      </c>
      <c r="R15" s="13">
        <f>('TUSD BE'!$R$15+'TUSD BF'!$R$15+'TUSD CVA'!$R$15)*1</f>
        <v>0</v>
      </c>
      <c r="S15" s="13">
        <f>('TUSD BE'!$S$15+'TUSD BF'!$S$15+'TUSD CVA'!$S$15)*1</f>
        <v>0</v>
      </c>
      <c r="T15" s="13">
        <f>('TUSD BE'!$U$15+'TUSD BF'!$U$15+'TUSD CVA'!$U$15)*1</f>
        <v>0</v>
      </c>
      <c r="U15" s="13">
        <f>('TUSD BE'!$V$15+'TUSD BF'!$V$15+'TUSD CVA'!$V$15)*1</f>
        <v>0</v>
      </c>
      <c r="V15" s="13">
        <f>('TUSD BE'!$W$15+'TUSD BF'!$W$15+'TUSD CVA'!$W$15)*1</f>
        <v>0</v>
      </c>
      <c r="W15" s="13">
        <f>('TUSD BE'!$X$15+'TUSD BF'!$X$15+'TUSD CVA'!$X$15)*1</f>
        <v>0</v>
      </c>
      <c r="X15" s="13">
        <f>('TUSD BE'!$Y$15+'TUSD BF'!$Y$15+'TUSD CVA'!$Y$15)*1</f>
        <v>0</v>
      </c>
      <c r="Y15" s="13">
        <f>('TUSD BE'!$Z$15+'TUSD BF'!$Z$15+'TUSD CVA'!$Z$15)*1</f>
        <v>0</v>
      </c>
      <c r="Z15" s="13">
        <f>('TUSD BE'!$AA$15+'TUSD BF'!$AA$15+'TUSD CVA'!$AA$15)*1</f>
        <v>0</v>
      </c>
      <c r="AA15" s="13">
        <f>('TUSD BE'!$AC$15+'TUSD BF'!$AC$15+'TUSD CVA'!$AC$15)*1</f>
        <v>5.6576417349422314</v>
      </c>
      <c r="AB15" s="13">
        <f ca="1">('TUSD BE'!$AE$15+'TUSD BF'!$AE$15+'TUSD CVA'!$AE$15)*1</f>
        <v>0</v>
      </c>
      <c r="AC15" s="13">
        <f ca="1">('TUSD BE'!$AF$15+'TUSD BF'!$AF$15+'TUSD CVA'!$AF$15)*1</f>
        <v>0</v>
      </c>
      <c r="AD15" s="13">
        <f>('TUSD BE'!$AH$15+'TUSD BF'!$AH$15+'TUSD CVA'!$AH$15)*1</f>
        <v>0</v>
      </c>
      <c r="AE15" s="13">
        <f>('TUSD BE'!$AI$15+'TUSD BF'!$AI$15+'TUSD CVA'!$AI$15)*1</f>
        <v>0</v>
      </c>
      <c r="AF15" s="13">
        <f ca="1">('TUSD BE'!$AJ$15+'TUSD BF'!$AJ$15+'TUSD CVA'!$AJ$15)*1</f>
        <v>0</v>
      </c>
      <c r="AG15" s="13">
        <f ca="1">('TUSD BE'!$AK$15+'TUSD BF'!$AK$15+'TUSD CVA'!$AK$15)*1</f>
        <v>0</v>
      </c>
      <c r="AI15" s="13">
        <v>0</v>
      </c>
      <c r="AJ15" s="13">
        <v>8.46722694743492E-3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4.41155136622237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</row>
    <row r="16" spans="1:56" ht="11.25" customHeight="1" x14ac:dyDescent="0.25">
      <c r="A16" s="103"/>
      <c r="B16" s="103"/>
      <c r="C16" s="103"/>
      <c r="D16" s="103"/>
      <c r="E16" s="23" t="s">
        <v>73</v>
      </c>
      <c r="F16" s="23" t="s">
        <v>25</v>
      </c>
      <c r="G16" s="24" t="s">
        <v>9</v>
      </c>
      <c r="H16" s="24" t="s">
        <v>64</v>
      </c>
      <c r="I16" s="24">
        <f>'MERCADO TUSD'!$U$13+0.00000001</f>
        <v>1E-8</v>
      </c>
      <c r="J16" s="15"/>
      <c r="L16" s="13">
        <f>('TUSD BE'!$L$16+'TUSD BF'!$L$16+'TUSD CVA'!$L$16)*1</f>
        <v>0</v>
      </c>
      <c r="M16" s="13">
        <f>('TUSD BE'!$M$16+'TUSD BF'!$M$16+'TUSD CVA'!$M$16)*1</f>
        <v>1.0392256682814459E-2</v>
      </c>
      <c r="N16" s="13">
        <f ca="1">('TUSD BE'!$N$16+'TUSD BF'!$N$16+'TUSD CVA'!$N$16)*1</f>
        <v>0</v>
      </c>
      <c r="O16" s="13">
        <f>('TUSD BE'!$O$16+'TUSD BF'!$O$16+'TUSD CVA'!$O$16)*1</f>
        <v>0</v>
      </c>
      <c r="P16" s="13">
        <f>('TUSD BE'!$P$16+'TUSD BF'!$P$16+'TUSD CVA'!$P$16)*1</f>
        <v>0</v>
      </c>
      <c r="Q16" s="13">
        <f>('TUSD BE'!$Q$16+'TUSD BF'!$Q$16+'TUSD CVA'!$Q$16)*1</f>
        <v>0</v>
      </c>
      <c r="R16" s="13">
        <f>('TUSD BE'!$R$16+'TUSD BF'!$R$16+'TUSD CVA'!$R$16)*1</f>
        <v>0</v>
      </c>
      <c r="S16" s="13">
        <f>('TUSD BE'!$S$16+'TUSD BF'!$S$16+'TUSD CVA'!$S$16)*1</f>
        <v>0</v>
      </c>
      <c r="T16" s="13">
        <f>('TUSD BE'!$U$16+'TUSD BF'!$U$16+'TUSD CVA'!$U$16)*1</f>
        <v>0</v>
      </c>
      <c r="U16" s="13">
        <f>('TUSD BE'!$V$16+'TUSD BF'!$V$16+'TUSD CVA'!$V$16)*1</f>
        <v>0</v>
      </c>
      <c r="V16" s="13">
        <f>('TUSD BE'!$W$16+'TUSD BF'!$W$16+'TUSD CVA'!$W$16)*1</f>
        <v>0</v>
      </c>
      <c r="W16" s="13">
        <f>('TUSD BE'!$X$16+'TUSD BF'!$X$16+'TUSD CVA'!$X$16)*1</f>
        <v>0</v>
      </c>
      <c r="X16" s="13">
        <f>('TUSD BE'!$Y$16+'TUSD BF'!$Y$16+'TUSD CVA'!$Y$16)*1</f>
        <v>0</v>
      </c>
      <c r="Y16" s="13">
        <f>('TUSD BE'!$Z$16+'TUSD BF'!$Z$16+'TUSD CVA'!$Z$16)*1</f>
        <v>0</v>
      </c>
      <c r="Z16" s="13">
        <f>('TUSD BE'!$AA$16+'TUSD BF'!$AA$16+'TUSD CVA'!$AA$16)*1</f>
        <v>0</v>
      </c>
      <c r="AA16" s="13">
        <f>('TUSD BE'!$AC$16+'TUSD BF'!$AC$16+'TUSD CVA'!$AC$16)*1</f>
        <v>11.510664023079112</v>
      </c>
      <c r="AB16" s="13">
        <f ca="1">('TUSD BE'!$AE$16+'TUSD BF'!$AE$16+'TUSD CVA'!$AE$16)*1</f>
        <v>0</v>
      </c>
      <c r="AC16" s="13">
        <f ca="1">('TUSD BE'!$AF$16+'TUSD BF'!$AF$16+'TUSD CVA'!$AF$16)*1</f>
        <v>0</v>
      </c>
      <c r="AD16" s="13">
        <f>('TUSD BE'!$AH$16+'TUSD BF'!$AH$16+'TUSD CVA'!$AH$16)*1</f>
        <v>0</v>
      </c>
      <c r="AE16" s="13">
        <f>('TUSD BE'!$AI$16+'TUSD BF'!$AI$16+'TUSD CVA'!$AI$16)*1</f>
        <v>0</v>
      </c>
      <c r="AF16" s="13">
        <f ca="1">('TUSD BE'!$AJ$16+'TUSD BF'!$AJ$16+'TUSD CVA'!$AJ$16)*1</f>
        <v>0</v>
      </c>
      <c r="AG16" s="13">
        <f ca="1">('TUSD BE'!$AK$16+'TUSD BF'!$AK$16+'TUSD CVA'!$AK$16)*1</f>
        <v>0</v>
      </c>
      <c r="AI16" s="13">
        <v>0</v>
      </c>
      <c r="AJ16" s="13">
        <v>8.46722694743492E-3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8.9754591136083803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</row>
    <row r="17" spans="1:56" ht="11.25" customHeight="1" x14ac:dyDescent="0.25">
      <c r="A17" s="103" t="s">
        <v>22</v>
      </c>
      <c r="B17" s="103" t="s">
        <v>76</v>
      </c>
      <c r="C17" s="103" t="s">
        <v>24</v>
      </c>
      <c r="D17" s="103" t="s">
        <v>24</v>
      </c>
      <c r="E17" s="103" t="s">
        <v>25</v>
      </c>
      <c r="F17" s="103" t="s">
        <v>25</v>
      </c>
      <c r="G17" s="24" t="s">
        <v>61</v>
      </c>
      <c r="H17" s="24" t="s">
        <v>60</v>
      </c>
      <c r="I17" s="24">
        <f>'MERCADO TUSD'!$U$14</f>
        <v>0</v>
      </c>
      <c r="J17" s="15"/>
      <c r="L17" s="13">
        <f>('TUSD BE'!$L$17+'TUSD BF'!$L$17+'TUSD CVA'!$L$17)*1</f>
        <v>31.02029800921056</v>
      </c>
      <c r="M17" s="13">
        <f>('TUSD BE'!$M$17+'TUSD BF'!$M$17+'TUSD CVA'!$M$17)*1</f>
        <v>2.2383507497439861</v>
      </c>
      <c r="N17" s="13">
        <f ca="1">('TUSD BE'!$N$17+'TUSD BF'!$N$17+'TUSD CVA'!$N$17)*1</f>
        <v>0</v>
      </c>
      <c r="O17" s="13">
        <f>('TUSD BE'!$O$17+'TUSD BF'!$O$17+'TUSD CVA'!$O$17)*1</f>
        <v>0</v>
      </c>
      <c r="P17" s="13">
        <f>('TUSD BE'!$P$17+'TUSD BF'!$P$17+'TUSD CVA'!$P$17)*1</f>
        <v>0</v>
      </c>
      <c r="Q17" s="13">
        <f>('TUSD BE'!$Q$17+'TUSD BF'!$Q$17+'TUSD CVA'!$Q$17)*1</f>
        <v>88.880571470271917</v>
      </c>
      <c r="R17" s="13">
        <f>('TUSD BE'!$R$17+'TUSD BF'!$R$17+'TUSD CVA'!$R$17)*1</f>
        <v>14.060328828195003</v>
      </c>
      <c r="S17" s="13">
        <f>('TUSD BE'!$S$17+'TUSD BF'!$S$17+'TUSD CVA'!$S$17)*1</f>
        <v>0</v>
      </c>
      <c r="T17" s="13">
        <f>('TUSD BE'!$U$17+'TUSD BF'!$U$17+'TUSD CVA'!$U$17)*1</f>
        <v>0</v>
      </c>
      <c r="U17" s="13">
        <f>('TUSD BE'!$V$17+'TUSD BF'!$V$17+'TUSD CVA'!$V$17)*1</f>
        <v>0</v>
      </c>
      <c r="V17" s="13">
        <f>('TUSD BE'!$W$17+'TUSD BF'!$W$17+'TUSD CVA'!$W$17)*1</f>
        <v>0</v>
      </c>
      <c r="W17" s="13">
        <f>('TUSD BE'!$X$17+'TUSD BF'!$X$17+'TUSD CVA'!$X$17)*1</f>
        <v>0</v>
      </c>
      <c r="X17" s="13">
        <f>('TUSD BE'!$Y$17+'TUSD BF'!$Y$17+'TUSD CVA'!$Y$17)*1</f>
        <v>423.63015027763907</v>
      </c>
      <c r="Y17" s="13">
        <f>('TUSD BE'!$Z$17+'TUSD BF'!$Z$17+'TUSD CVA'!$Z$17)*1</f>
        <v>0</v>
      </c>
      <c r="Z17" s="13">
        <f>('TUSD BE'!$AA$17+'TUSD BF'!$AA$17+'TUSD CVA'!$AA$17)*1</f>
        <v>0</v>
      </c>
      <c r="AA17" s="13">
        <f>('TUSD BE'!$AC$17+'TUSD BF'!$AC$17+'TUSD CVA'!$AC$17)*1</f>
        <v>487.54195909996315</v>
      </c>
      <c r="AB17" s="13">
        <f ca="1">('TUSD BE'!$AE$17+'TUSD BF'!$AE$17+'TUSD CVA'!$AE$17)*1</f>
        <v>0</v>
      </c>
      <c r="AC17" s="13">
        <f ca="1">('TUSD BE'!$AF$17+'TUSD BF'!$AF$17+'TUSD CVA'!$AF$17)*1</f>
        <v>0</v>
      </c>
      <c r="AD17" s="13">
        <f>('TUSD BE'!$AH$17+'TUSD BF'!$AH$17+'TUSD CVA'!$AH$17)*1</f>
        <v>12.492571415712034</v>
      </c>
      <c r="AE17" s="13">
        <f>('TUSD BE'!$AI$17+'TUSD BF'!$AI$17+'TUSD CVA'!$AI$17)*1</f>
        <v>0</v>
      </c>
      <c r="AF17" s="13">
        <f ca="1">('TUSD BE'!$AJ$17+'TUSD BF'!$AJ$17+'TUSD CVA'!$AJ$17)*1</f>
        <v>0</v>
      </c>
      <c r="AG17" s="13">
        <f ca="1">('TUSD BE'!$AK$17+'TUSD BF'!$AK$17+'TUSD CVA'!$AK$17)*1</f>
        <v>0</v>
      </c>
      <c r="AI17" s="13">
        <v>32.401508938864403</v>
      </c>
      <c r="AJ17" s="13">
        <v>1.5536254353613499</v>
      </c>
      <c r="AK17" s="13">
        <v>0</v>
      </c>
      <c r="AL17" s="13">
        <v>0</v>
      </c>
      <c r="AM17" s="13">
        <v>0</v>
      </c>
      <c r="AN17" s="13">
        <v>50.079900799256002</v>
      </c>
      <c r="AO17" s="13">
        <v>8.0148878204039207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361.56276520611999</v>
      </c>
      <c r="AV17" s="13">
        <v>0</v>
      </c>
      <c r="AW17" s="13">
        <v>0</v>
      </c>
      <c r="AX17" s="13">
        <v>380.16134256861301</v>
      </c>
      <c r="AY17" s="13">
        <v>0</v>
      </c>
      <c r="AZ17" s="13">
        <v>0</v>
      </c>
      <c r="BA17" s="13">
        <v>18.1524050797561</v>
      </c>
      <c r="BB17" s="13">
        <v>0</v>
      </c>
      <c r="BC17" s="13">
        <v>0</v>
      </c>
      <c r="BD17" s="13">
        <v>0</v>
      </c>
    </row>
    <row r="18" spans="1:56" ht="11.25" customHeight="1" x14ac:dyDescent="0.25">
      <c r="A18" s="103"/>
      <c r="B18" s="103"/>
      <c r="C18" s="103"/>
      <c r="D18" s="103"/>
      <c r="E18" s="103"/>
      <c r="F18" s="103"/>
      <c r="G18" s="24" t="s">
        <v>74</v>
      </c>
      <c r="H18" s="24" t="s">
        <v>60</v>
      </c>
      <c r="I18" s="24">
        <f>'MERCADO TUSD'!$U$15</f>
        <v>0</v>
      </c>
      <c r="J18" s="15"/>
      <c r="L18" s="13">
        <f>('TUSD BE'!$L$18+'TUSD BF'!$L$18+'TUSD CVA'!$L$18)*1</f>
        <v>31.02029800921056</v>
      </c>
      <c r="M18" s="13">
        <f>('TUSD BE'!$M$18+'TUSD BF'!$M$18+'TUSD CVA'!$M$18)*1</f>
        <v>2.2383507497439861</v>
      </c>
      <c r="N18" s="13">
        <f ca="1">('TUSD BE'!$N$18+'TUSD BF'!$N$18+'TUSD CVA'!$N$18)*1</f>
        <v>0</v>
      </c>
      <c r="O18" s="13">
        <f>('TUSD BE'!$O$18+'TUSD BF'!$O$18+'TUSD CVA'!$O$18)*1</f>
        <v>0</v>
      </c>
      <c r="P18" s="13">
        <f>('TUSD BE'!$P$18+'TUSD BF'!$P$18+'TUSD CVA'!$P$18)*1</f>
        <v>0</v>
      </c>
      <c r="Q18" s="13">
        <f>('TUSD BE'!$Q$18+'TUSD BF'!$Q$18+'TUSD CVA'!$Q$18)*1</f>
        <v>88.880571470271917</v>
      </c>
      <c r="R18" s="13">
        <f>('TUSD BE'!$R$18+'TUSD BF'!$R$18+'TUSD CVA'!$R$18)*1</f>
        <v>14.060328828195003</v>
      </c>
      <c r="S18" s="13">
        <f>('TUSD BE'!$S$18+'TUSD BF'!$S$18+'TUSD CVA'!$S$18)*1</f>
        <v>0</v>
      </c>
      <c r="T18" s="13">
        <f>('TUSD BE'!$U$18+'TUSD BF'!$U$18+'TUSD CVA'!$U$18)*1</f>
        <v>0</v>
      </c>
      <c r="U18" s="13">
        <f>('TUSD BE'!$V$18+'TUSD BF'!$V$18+'TUSD CVA'!$V$18)*1</f>
        <v>0</v>
      </c>
      <c r="V18" s="13">
        <f>('TUSD BE'!$W$18+'TUSD BF'!$W$18+'TUSD CVA'!$W$18)*1</f>
        <v>0</v>
      </c>
      <c r="W18" s="13">
        <f>('TUSD BE'!$X$18+'TUSD BF'!$X$18+'TUSD CVA'!$X$18)*1</f>
        <v>0</v>
      </c>
      <c r="X18" s="13">
        <f>('TUSD BE'!$Y$18+'TUSD BF'!$Y$18+'TUSD CVA'!$Y$18)*1</f>
        <v>254.17806728452112</v>
      </c>
      <c r="Y18" s="13">
        <f>('TUSD BE'!$Z$18+'TUSD BF'!$Z$18+'TUSD CVA'!$Z$18)*1</f>
        <v>0</v>
      </c>
      <c r="Z18" s="13">
        <f>('TUSD BE'!$AA$18+'TUSD BF'!$AA$18+'TUSD CVA'!$AA$18)*1</f>
        <v>0</v>
      </c>
      <c r="AA18" s="13">
        <f>('TUSD BE'!$AC$18+'TUSD BF'!$AC$18+'TUSD CVA'!$AC$18)*1</f>
        <v>292.52532144793793</v>
      </c>
      <c r="AB18" s="13">
        <f ca="1">('TUSD BE'!$AE$18+'TUSD BF'!$AE$18+'TUSD CVA'!$AE$18)*1</f>
        <v>0</v>
      </c>
      <c r="AC18" s="13">
        <f ca="1">('TUSD BE'!$AF$18+'TUSD BF'!$AF$18+'TUSD CVA'!$AF$18)*1</f>
        <v>0</v>
      </c>
      <c r="AD18" s="13">
        <f>('TUSD BE'!$AH$18+'TUSD BF'!$AH$18+'TUSD CVA'!$AH$18)*1</f>
        <v>12.492571415712034</v>
      </c>
      <c r="AE18" s="13">
        <f>('TUSD BE'!$AI$18+'TUSD BF'!$AI$18+'TUSD CVA'!$AI$18)*1</f>
        <v>0</v>
      </c>
      <c r="AF18" s="13">
        <f ca="1">('TUSD BE'!$AJ$18+'TUSD BF'!$AJ$18+'TUSD CVA'!$AJ$18)*1</f>
        <v>0</v>
      </c>
      <c r="AG18" s="13">
        <f ca="1">('TUSD BE'!$AK$18+'TUSD BF'!$AK$18+'TUSD CVA'!$AK$18)*1</f>
        <v>0</v>
      </c>
      <c r="AI18" s="13">
        <v>32.401508938864403</v>
      </c>
      <c r="AJ18" s="13">
        <v>1.5536254353613499</v>
      </c>
      <c r="AK18" s="13">
        <v>0</v>
      </c>
      <c r="AL18" s="13">
        <v>0</v>
      </c>
      <c r="AM18" s="13">
        <v>0</v>
      </c>
      <c r="AN18" s="13">
        <v>50.079900799256002</v>
      </c>
      <c r="AO18" s="13">
        <v>8.0148878204039207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216.93767345373601</v>
      </c>
      <c r="AV18" s="13">
        <v>0</v>
      </c>
      <c r="AW18" s="13">
        <v>0</v>
      </c>
      <c r="AX18" s="13">
        <v>228.096921999323</v>
      </c>
      <c r="AY18" s="13">
        <v>0</v>
      </c>
      <c r="AZ18" s="13">
        <v>0</v>
      </c>
      <c r="BA18" s="13">
        <v>18.1524050797561</v>
      </c>
      <c r="BB18" s="13">
        <v>0</v>
      </c>
      <c r="BC18" s="13">
        <v>0</v>
      </c>
      <c r="BD18" s="13">
        <v>0</v>
      </c>
    </row>
    <row r="19" spans="1:56" ht="11.25" customHeight="1" x14ac:dyDescent="0.25">
      <c r="A19" s="103"/>
      <c r="B19" s="103"/>
      <c r="C19" s="103"/>
      <c r="D19" s="103"/>
      <c r="E19" s="103"/>
      <c r="F19" s="103"/>
      <c r="G19" s="24" t="s">
        <v>62</v>
      </c>
      <c r="H19" s="24" t="s">
        <v>60</v>
      </c>
      <c r="I19" s="24">
        <f>'MERCADO TUSD'!$U$16</f>
        <v>0</v>
      </c>
      <c r="J19" s="15"/>
      <c r="L19" s="13">
        <f>('TUSD BE'!$L$19+'TUSD BF'!$L$19+'TUSD CVA'!$L$19)*1</f>
        <v>31.02029800921056</v>
      </c>
      <c r="M19" s="13">
        <f>('TUSD BE'!$M$19+'TUSD BF'!$M$19+'TUSD CVA'!$M$19)*1</f>
        <v>2.2383507497439861</v>
      </c>
      <c r="N19" s="13">
        <f ca="1">('TUSD BE'!$N$19+'TUSD BF'!$N$19+'TUSD CVA'!$N$19)*1</f>
        <v>0</v>
      </c>
      <c r="O19" s="13">
        <f>('TUSD BE'!$O$19+'TUSD BF'!$O$19+'TUSD CVA'!$O$19)*1</f>
        <v>0</v>
      </c>
      <c r="P19" s="13">
        <f>('TUSD BE'!$P$19+'TUSD BF'!$P$19+'TUSD CVA'!$P$19)*1</f>
        <v>0</v>
      </c>
      <c r="Q19" s="13">
        <f>('TUSD BE'!$Q$19+'TUSD BF'!$Q$19+'TUSD CVA'!$Q$19)*1</f>
        <v>88.880571470271917</v>
      </c>
      <c r="R19" s="13">
        <f>('TUSD BE'!$R$19+'TUSD BF'!$R$19+'TUSD CVA'!$R$19)*1</f>
        <v>14.060328828195003</v>
      </c>
      <c r="S19" s="13">
        <f>('TUSD BE'!$S$19+'TUSD BF'!$S$19+'TUSD CVA'!$S$19)*1</f>
        <v>0</v>
      </c>
      <c r="T19" s="13">
        <f>('TUSD BE'!$U$19+'TUSD BF'!$U$19+'TUSD CVA'!$U$19)*1</f>
        <v>0</v>
      </c>
      <c r="U19" s="13">
        <f>('TUSD BE'!$V$19+'TUSD BF'!$V$19+'TUSD CVA'!$V$19)*1</f>
        <v>0</v>
      </c>
      <c r="V19" s="13">
        <f>('TUSD BE'!$W$19+'TUSD BF'!$W$19+'TUSD CVA'!$W$19)*1</f>
        <v>0</v>
      </c>
      <c r="W19" s="13">
        <f>('TUSD BE'!$X$19+'TUSD BF'!$X$19+'TUSD CVA'!$X$19)*1</f>
        <v>0</v>
      </c>
      <c r="X19" s="13">
        <f>('TUSD BE'!$Y$19+'TUSD BF'!$Y$19+'TUSD CVA'!$Y$19)*1</f>
        <v>84.803440072436402</v>
      </c>
      <c r="Y19" s="13">
        <f>('TUSD BE'!$Z$19+'TUSD BF'!$Z$19+'TUSD CVA'!$Z$19)*1</f>
        <v>0</v>
      </c>
      <c r="Z19" s="13">
        <f>('TUSD BE'!$AA$19+'TUSD BF'!$AA$19+'TUSD CVA'!$AA$19)*1</f>
        <v>0</v>
      </c>
      <c r="AA19" s="13">
        <f>('TUSD BE'!$AC$19+'TUSD BF'!$AC$19+'TUSD CVA'!$AC$19)*1</f>
        <v>97.508318826012641</v>
      </c>
      <c r="AB19" s="13">
        <f ca="1">('TUSD BE'!$AE$19+'TUSD BF'!$AE$19+'TUSD CVA'!$AE$19)*1</f>
        <v>0</v>
      </c>
      <c r="AC19" s="13">
        <f ca="1">('TUSD BE'!$AF$19+'TUSD BF'!$AF$19+'TUSD CVA'!$AF$19)*1</f>
        <v>0</v>
      </c>
      <c r="AD19" s="13">
        <f>('TUSD BE'!$AH$19+'TUSD BF'!$AH$19+'TUSD CVA'!$AH$19)*1</f>
        <v>12.492571415712034</v>
      </c>
      <c r="AE19" s="13">
        <f>('TUSD BE'!$AI$19+'TUSD BF'!$AI$19+'TUSD CVA'!$AI$19)*1</f>
        <v>0</v>
      </c>
      <c r="AF19" s="13">
        <f ca="1">('TUSD BE'!$AJ$19+'TUSD BF'!$AJ$19+'TUSD CVA'!$AJ$19)*1</f>
        <v>0</v>
      </c>
      <c r="AG19" s="13">
        <f ca="1">('TUSD BE'!$AK$19+'TUSD BF'!$AK$19+'TUSD CVA'!$AK$19)*1</f>
        <v>0</v>
      </c>
      <c r="AI19" s="13">
        <v>32.401508938864403</v>
      </c>
      <c r="AJ19" s="13">
        <v>1.5536254353613499</v>
      </c>
      <c r="AK19" s="13">
        <v>0</v>
      </c>
      <c r="AL19" s="13">
        <v>0</v>
      </c>
      <c r="AM19" s="13">
        <v>0</v>
      </c>
      <c r="AN19" s="13">
        <v>50.079900799256002</v>
      </c>
      <c r="AO19" s="13">
        <v>8.0148878204039207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72.378643294375493</v>
      </c>
      <c r="AV19" s="13">
        <v>0</v>
      </c>
      <c r="AW19" s="13">
        <v>0</v>
      </c>
      <c r="AX19" s="13">
        <v>76.032210284645203</v>
      </c>
      <c r="AY19" s="13">
        <v>0</v>
      </c>
      <c r="AZ19" s="13">
        <v>0</v>
      </c>
      <c r="BA19" s="13">
        <v>18.1524050797561</v>
      </c>
      <c r="BB19" s="13">
        <v>0</v>
      </c>
      <c r="BC19" s="13">
        <v>0</v>
      </c>
      <c r="BD19" s="13">
        <v>0</v>
      </c>
    </row>
    <row r="20" spans="1:56" ht="11.25" customHeight="1" x14ac:dyDescent="0.25">
      <c r="A20" s="103"/>
      <c r="B20" s="103" t="s">
        <v>23</v>
      </c>
      <c r="C20" s="103" t="s">
        <v>24</v>
      </c>
      <c r="D20" s="23" t="s">
        <v>24</v>
      </c>
      <c r="E20" s="23" t="s">
        <v>25</v>
      </c>
      <c r="F20" s="23" t="s">
        <v>25</v>
      </c>
      <c r="G20" s="24" t="s">
        <v>67</v>
      </c>
      <c r="H20" s="24" t="s">
        <v>60</v>
      </c>
      <c r="I20" s="24">
        <f>'MERCADO TUSD'!$U$17</f>
        <v>3454.3520000000003</v>
      </c>
      <c r="J20" s="15"/>
      <c r="L20" s="13">
        <f>('TUSD BE'!$L$20+'TUSD BF'!$L$20+'TUSD CVA'!$L$20)*1</f>
        <v>31.02029800921056</v>
      </c>
      <c r="M20" s="13">
        <f>('TUSD BE'!$M$20+'TUSD BF'!$M$20+'TUSD CVA'!$M$20)*1</f>
        <v>2.2383507497439861</v>
      </c>
      <c r="N20" s="13">
        <f ca="1">('TUSD BE'!$N$20+'TUSD BF'!$N$20+'TUSD CVA'!$N$20)*1</f>
        <v>0</v>
      </c>
      <c r="O20" s="13">
        <f>('TUSD BE'!$O$20+'TUSD BF'!$O$20+'TUSD CVA'!$O$20)*1</f>
        <v>0</v>
      </c>
      <c r="P20" s="13">
        <f>('TUSD BE'!$P$20+'TUSD BF'!$P$20+'TUSD CVA'!$P$20)*1</f>
        <v>0</v>
      </c>
      <c r="Q20" s="13">
        <f>('TUSD BE'!$Q$20+'TUSD BF'!$Q$20+'TUSD CVA'!$Q$20)*1</f>
        <v>88.880571470271917</v>
      </c>
      <c r="R20" s="13">
        <f>('TUSD BE'!$R$20+'TUSD BF'!$R$20+'TUSD CVA'!$R$20)*1</f>
        <v>14.060328828195003</v>
      </c>
      <c r="S20" s="13">
        <f>('TUSD BE'!$S$20+'TUSD BF'!$S$20+'TUSD CVA'!$S$20)*1</f>
        <v>0</v>
      </c>
      <c r="T20" s="13">
        <f>('TUSD BE'!$U$20+'TUSD BF'!$U$20+'TUSD CVA'!$U$20)*1</f>
        <v>0</v>
      </c>
      <c r="U20" s="13">
        <f>('TUSD BE'!$V$20+'TUSD BF'!$V$20+'TUSD CVA'!$V$20)*1</f>
        <v>0</v>
      </c>
      <c r="V20" s="13">
        <f>('TUSD BE'!$W$20+'TUSD BF'!$W$20+'TUSD CVA'!$W$20)*1</f>
        <v>0</v>
      </c>
      <c r="W20" s="13">
        <f>('TUSD BE'!$X$20+'TUSD BF'!$X$20+'TUSD CVA'!$X$20)*1</f>
        <v>0</v>
      </c>
      <c r="X20" s="13">
        <f>('TUSD BE'!$Y$20+'TUSD BF'!$Y$20+'TUSD CVA'!$Y$20)*1</f>
        <v>156.82839242905968</v>
      </c>
      <c r="Y20" s="13">
        <f>('TUSD BE'!$Z$20+'TUSD BF'!$Z$20+'TUSD CVA'!$Z$20)*1</f>
        <v>0</v>
      </c>
      <c r="Z20" s="13">
        <f>('TUSD BE'!$AA$20+'TUSD BF'!$AA$20+'TUSD CVA'!$AA$20)*1</f>
        <v>0</v>
      </c>
      <c r="AA20" s="13">
        <f>('TUSD BE'!$AC$20+'TUSD BF'!$AC$20+'TUSD CVA'!$AC$20)*1</f>
        <v>180.57112900549174</v>
      </c>
      <c r="AB20" s="13">
        <f ca="1">('TUSD BE'!$AE$20+'TUSD BF'!$AE$20+'TUSD CVA'!$AE$20)*1</f>
        <v>0</v>
      </c>
      <c r="AC20" s="13">
        <f ca="1">('TUSD BE'!$AF$20+'TUSD BF'!$AF$20+'TUSD CVA'!$AF$20)*1</f>
        <v>0</v>
      </c>
      <c r="AD20" s="13">
        <f>('TUSD BE'!$AH$20+'TUSD BF'!$AH$20+'TUSD CVA'!$AH$20)*1</f>
        <v>12.492571415712034</v>
      </c>
      <c r="AE20" s="13">
        <f>('TUSD BE'!$AI$20+'TUSD BF'!$AI$20+'TUSD CVA'!$AI$20)*1</f>
        <v>0</v>
      </c>
      <c r="AF20" s="13">
        <f ca="1">('TUSD BE'!$AJ$20+'TUSD BF'!$AJ$20+'TUSD CVA'!$AJ$20)*1</f>
        <v>0</v>
      </c>
      <c r="AG20" s="13">
        <f ca="1">('TUSD BE'!$AK$20+'TUSD BF'!$AK$20+'TUSD CVA'!$AK$20)*1</f>
        <v>0</v>
      </c>
      <c r="AI20" s="13">
        <v>32.401508938864403</v>
      </c>
      <c r="AJ20" s="13">
        <v>1.5536254353613499</v>
      </c>
      <c r="AK20" s="13">
        <v>0</v>
      </c>
      <c r="AL20" s="13">
        <v>0</v>
      </c>
      <c r="AM20" s="13">
        <v>0</v>
      </c>
      <c r="AN20" s="13">
        <v>50.079900799256002</v>
      </c>
      <c r="AO20" s="13">
        <v>8.0148878204039207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133.85096181240601</v>
      </c>
      <c r="AV20" s="13">
        <v>0</v>
      </c>
      <c r="AW20" s="13">
        <v>0</v>
      </c>
      <c r="AX20" s="13">
        <v>140.80052959712199</v>
      </c>
      <c r="AY20" s="13">
        <v>0</v>
      </c>
      <c r="AZ20" s="13">
        <v>0</v>
      </c>
      <c r="BA20" s="13">
        <v>18.1524050797561</v>
      </c>
      <c r="BB20" s="13">
        <v>0</v>
      </c>
      <c r="BC20" s="13">
        <v>0</v>
      </c>
      <c r="BD20" s="13">
        <v>0</v>
      </c>
    </row>
    <row r="21" spans="1:56" ht="11.25" customHeight="1" x14ac:dyDescent="0.25">
      <c r="A21" s="103"/>
      <c r="B21" s="103"/>
      <c r="C21" s="103"/>
      <c r="D21" s="23" t="s">
        <v>41</v>
      </c>
      <c r="E21" s="23" t="s">
        <v>25</v>
      </c>
      <c r="F21" s="23" t="s">
        <v>25</v>
      </c>
      <c r="G21" s="24" t="s">
        <v>67</v>
      </c>
      <c r="H21" s="24" t="s">
        <v>60</v>
      </c>
      <c r="I21" s="24">
        <f>'MERCADO TUSD'!$U$18</f>
        <v>0.48000000000000009</v>
      </c>
      <c r="J21" s="15"/>
      <c r="L21" s="13">
        <f>('TUSD BE'!$L$21+'TUSD BF'!$L$21+'TUSD CVA'!$L$21)*(1 - 0.65)</f>
        <v>0</v>
      </c>
      <c r="M21" s="13">
        <f>('TUSD BE'!$M$21+'TUSD BF'!$M$21+'TUSD CVA'!$M$21)*(1 - 0.65)</f>
        <v>0.7834227624103951</v>
      </c>
      <c r="N21" s="13">
        <f ca="1">('TUSD BE'!$N$21+'TUSD BF'!$N$21+'TUSD CVA'!$N$21)*(1 - 0.65)</f>
        <v>0</v>
      </c>
      <c r="O21" s="13">
        <f>('TUSD BE'!$O$21+'TUSD BF'!$O$21+'TUSD CVA'!$O$21)*(1 - 0.65)</f>
        <v>0</v>
      </c>
      <c r="P21" s="13">
        <v>0</v>
      </c>
      <c r="Q21" s="13">
        <f>('TUSD BE'!$Q$21+'TUSD BF'!$Q$21+'TUSD CVA'!$Q$21)*(1 - 0.65)</f>
        <v>0</v>
      </c>
      <c r="R21" s="13">
        <v>0</v>
      </c>
      <c r="S21" s="13">
        <f>('TUSD BE'!$S$21+'TUSD BF'!$S$21+'TUSD CVA'!$S$21)*(1 - 0.65)</f>
        <v>0</v>
      </c>
      <c r="T21" s="13">
        <f>('TUSD BE'!$U$21+'TUSD BF'!$U$21+'TUSD CVA'!$U$21)*(1 - 0.65)</f>
        <v>0</v>
      </c>
      <c r="U21" s="13">
        <f>('TUSD BE'!$V$21+'TUSD BF'!$V$21+'TUSD CVA'!$V$21)*(1 - 0.65)</f>
        <v>0</v>
      </c>
      <c r="V21" s="13">
        <f>('TUSD BE'!$W$21+'TUSD BF'!$W$21+'TUSD CVA'!$W$21)*(1 - 0.65)</f>
        <v>0</v>
      </c>
      <c r="W21" s="13">
        <f>('TUSD BE'!$X$21+'TUSD BF'!$X$21+'TUSD CVA'!$X$21)*(1 - 0.65)</f>
        <v>0</v>
      </c>
      <c r="X21" s="13">
        <f>('TUSD BE'!$Y$21+'TUSD BF'!$Y$21+'TUSD CVA'!$Y$21)*(1 - 0.65)</f>
        <v>54.889937350170882</v>
      </c>
      <c r="Y21" s="13">
        <f>('TUSD BE'!$Z$21+'TUSD BF'!$Z$21+'TUSD CVA'!$Z$21)*(1 - 0.65)</f>
        <v>0</v>
      </c>
      <c r="Z21" s="13">
        <f>('TUSD BE'!$AA$21+'TUSD BF'!$AA$21+'TUSD CVA'!$AA$21)*(1 - 0.65)</f>
        <v>0</v>
      </c>
      <c r="AA21" s="13">
        <f>('TUSD BE'!$AC$21+'TUSD BF'!$AC$21+'TUSD CVA'!$AC$21)*(1 - 0.65)</f>
        <v>63.199895151922107</v>
      </c>
      <c r="AB21" s="13">
        <f ca="1">('TUSD BE'!$AE$21+'TUSD BF'!$AE$21+'TUSD CVA'!$AE$21)*(1 - 0.65)</f>
        <v>0</v>
      </c>
      <c r="AC21" s="13">
        <f ca="1">('TUSD BE'!$AF$21+'TUSD BF'!$AF$21+'TUSD CVA'!$AF$21)*(1 - 0.65)</f>
        <v>0</v>
      </c>
      <c r="AD21" s="13">
        <f>('TUSD BE'!$AH$21+'TUSD BF'!$AH$21+'TUSD CVA'!$AH$21)*(1 - 0.65)</f>
        <v>4.3723999954992117</v>
      </c>
      <c r="AE21" s="13">
        <f>('TUSD BE'!$AI$21+'TUSD BF'!$AI$21+'TUSD CVA'!$AI$21)*(1 - 0.65)</f>
        <v>0</v>
      </c>
      <c r="AF21" s="13">
        <f ca="1">('TUSD BE'!$AJ$21+'TUSD BF'!$AJ$21+'TUSD CVA'!$AJ$21)*(1 - 0.65)</f>
        <v>0</v>
      </c>
      <c r="AG21" s="13">
        <f ca="1">('TUSD BE'!$AK$21+'TUSD BF'!$AK$21+'TUSD CVA'!$AK$21)*(1 - 0.65)</f>
        <v>0</v>
      </c>
      <c r="AI21" s="13">
        <v>0</v>
      </c>
      <c r="AJ21" s="13">
        <v>0.54376890237647102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46.847836634342002</v>
      </c>
      <c r="AV21" s="13">
        <v>0</v>
      </c>
      <c r="AW21" s="13">
        <v>0</v>
      </c>
      <c r="AX21" s="13">
        <v>49.280185358992703</v>
      </c>
      <c r="AY21" s="13">
        <v>0</v>
      </c>
      <c r="AZ21" s="13">
        <v>0</v>
      </c>
      <c r="BA21" s="13">
        <v>6.3533417779146504</v>
      </c>
      <c r="BB21" s="13">
        <v>0</v>
      </c>
      <c r="BC21" s="13">
        <v>0</v>
      </c>
      <c r="BD21" s="13">
        <v>0</v>
      </c>
    </row>
    <row r="22" spans="1:56" ht="11.25" customHeight="1" x14ac:dyDescent="0.25">
      <c r="A22" s="103"/>
      <c r="B22" s="103"/>
      <c r="C22" s="103"/>
      <c r="D22" s="23" t="s">
        <v>42</v>
      </c>
      <c r="E22" s="23" t="s">
        <v>25</v>
      </c>
      <c r="F22" s="23" t="s">
        <v>25</v>
      </c>
      <c r="G22" s="24" t="s">
        <v>67</v>
      </c>
      <c r="H22" s="24" t="s">
        <v>60</v>
      </c>
      <c r="I22" s="24">
        <f>'MERCADO TUSD'!$U$19</f>
        <v>7.3130000000000006</v>
      </c>
      <c r="J22" s="15"/>
      <c r="L22" s="13">
        <f>('TUSD BE'!$L$22+'TUSD BF'!$L$22+'TUSD CVA'!$L$22)*(1 - 0.4)</f>
        <v>0</v>
      </c>
      <c r="M22" s="13">
        <f>('TUSD BE'!$M$22+'TUSD BF'!$M$22+'TUSD CVA'!$M$22)*(1 - 0.4)</f>
        <v>1.3430104498463915</v>
      </c>
      <c r="N22" s="13">
        <f ca="1">('TUSD BE'!$N$22+'TUSD BF'!$N$22+'TUSD CVA'!$N$22)*(1 - 0.4)</f>
        <v>0</v>
      </c>
      <c r="O22" s="13">
        <f>('TUSD BE'!$O$22+'TUSD BF'!$O$22+'TUSD CVA'!$O$22)*(1 - 0.4)</f>
        <v>0</v>
      </c>
      <c r="P22" s="13">
        <v>0</v>
      </c>
      <c r="Q22" s="13">
        <f>('TUSD BE'!$Q$22+'TUSD BF'!$Q$22+'TUSD CVA'!$Q$22)*(1 - 0.4)</f>
        <v>0</v>
      </c>
      <c r="R22" s="13">
        <v>0</v>
      </c>
      <c r="S22" s="13">
        <f>('TUSD BE'!$S$22+'TUSD BF'!$S$22+'TUSD CVA'!$S$22)*(1 - 0.4)</f>
        <v>0</v>
      </c>
      <c r="T22" s="13">
        <f>('TUSD BE'!$U$22+'TUSD BF'!$U$22+'TUSD CVA'!$U$22)*(1 - 0.4)</f>
        <v>0</v>
      </c>
      <c r="U22" s="13">
        <f>('TUSD BE'!$V$22+'TUSD BF'!$V$22+'TUSD CVA'!$V$22)*(1 - 0.4)</f>
        <v>0</v>
      </c>
      <c r="V22" s="13">
        <f>('TUSD BE'!$W$22+'TUSD BF'!$W$22+'TUSD CVA'!$W$22)*(1 - 0.4)</f>
        <v>0</v>
      </c>
      <c r="W22" s="13">
        <f>('TUSD BE'!$X$22+'TUSD BF'!$X$22+'TUSD CVA'!$X$22)*(1 - 0.4)</f>
        <v>0</v>
      </c>
      <c r="X22" s="13">
        <f>('TUSD BE'!$Y$22+'TUSD BF'!$Y$22+'TUSD CVA'!$Y$22)*(1 - 0.4)</f>
        <v>94.097035457435808</v>
      </c>
      <c r="Y22" s="13">
        <f>('TUSD BE'!$Z$22+'TUSD BF'!$Z$22+'TUSD CVA'!$Z$22)*(1 - 0.4)</f>
        <v>0</v>
      </c>
      <c r="Z22" s="13">
        <f>('TUSD BE'!$AA$22+'TUSD BF'!$AA$22+'TUSD CVA'!$AA$22)*(1 - 0.4)</f>
        <v>0</v>
      </c>
      <c r="AA22" s="13">
        <f>('TUSD BE'!$AC$22+'TUSD BF'!$AC$22+'TUSD CVA'!$AC$22)*(1 - 0.4)</f>
        <v>108.34267740329504</v>
      </c>
      <c r="AB22" s="13">
        <f ca="1">('TUSD BE'!$AE$22+'TUSD BF'!$AE$22+'TUSD CVA'!$AE$22)*(1 - 0.4)</f>
        <v>0</v>
      </c>
      <c r="AC22" s="13">
        <f ca="1">('TUSD BE'!$AF$22+'TUSD BF'!$AF$22+'TUSD CVA'!$AF$22)*(1 - 0.4)</f>
        <v>0</v>
      </c>
      <c r="AD22" s="13">
        <f>('TUSD BE'!$AH$22+'TUSD BF'!$AH$22+'TUSD CVA'!$AH$22)*(1 - 0.4)</f>
        <v>7.4955428494272196</v>
      </c>
      <c r="AE22" s="13">
        <f>('TUSD BE'!$AI$22+'TUSD BF'!$AI$22+'TUSD CVA'!$AI$22)*(1 - 0.4)</f>
        <v>0</v>
      </c>
      <c r="AF22" s="13">
        <f ca="1">('TUSD BE'!$AJ$22+'TUSD BF'!$AJ$22+'TUSD CVA'!$AJ$22)*(1 - 0.4)</f>
        <v>0</v>
      </c>
      <c r="AG22" s="13">
        <f ca="1">('TUSD BE'!$AK$22+'TUSD BF'!$AK$22+'TUSD CVA'!$AK$22)*(1 - 0.4)</f>
        <v>0</v>
      </c>
      <c r="AI22" s="13">
        <v>0</v>
      </c>
      <c r="AJ22" s="13">
        <v>0.93217526121680705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80.310577087443505</v>
      </c>
      <c r="AV22" s="13">
        <v>0</v>
      </c>
      <c r="AW22" s="13">
        <v>0</v>
      </c>
      <c r="AX22" s="13">
        <v>84.480317758273202</v>
      </c>
      <c r="AY22" s="13">
        <v>0</v>
      </c>
      <c r="AZ22" s="13">
        <v>0</v>
      </c>
      <c r="BA22" s="13">
        <v>10.8914430478537</v>
      </c>
      <c r="BB22" s="13">
        <v>0</v>
      </c>
      <c r="BC22" s="13">
        <v>0</v>
      </c>
      <c r="BD22" s="13">
        <v>0</v>
      </c>
    </row>
    <row r="23" spans="1:56" ht="11.25" customHeight="1" x14ac:dyDescent="0.25">
      <c r="A23" s="103"/>
      <c r="B23" s="103"/>
      <c r="C23" s="103"/>
      <c r="D23" s="23" t="s">
        <v>39</v>
      </c>
      <c r="E23" s="23" t="s">
        <v>25</v>
      </c>
      <c r="F23" s="23" t="s">
        <v>25</v>
      </c>
      <c r="G23" s="24" t="s">
        <v>67</v>
      </c>
      <c r="H23" s="24" t="s">
        <v>60</v>
      </c>
      <c r="I23" s="24">
        <f>'MERCADO TUSD'!$U$20</f>
        <v>77.287999999999997</v>
      </c>
      <c r="J23" s="15"/>
      <c r="L23" s="13">
        <f>('TUSD BE'!$L$23+'TUSD BF'!$L$23+'TUSD CVA'!$L$23)*(1 - 0.1)</f>
        <v>0</v>
      </c>
      <c r="M23" s="13">
        <f>('TUSD BE'!$M$23+'TUSD BF'!$M$23+'TUSD CVA'!$M$23)*(1 - 0.1)</f>
        <v>2.0145156747695876</v>
      </c>
      <c r="N23" s="13">
        <f ca="1">('TUSD BE'!$N$23+'TUSD BF'!$N$23+'TUSD CVA'!$N$23)*(1 - 0.1)</f>
        <v>0</v>
      </c>
      <c r="O23" s="13">
        <f>('TUSD BE'!$O$23+'TUSD BF'!$O$23+'TUSD CVA'!$O$23)*(1 - 0.1)</f>
        <v>0</v>
      </c>
      <c r="P23" s="13">
        <v>0</v>
      </c>
      <c r="Q23" s="13">
        <f>('TUSD BE'!$Q$23+'TUSD BF'!$Q$23+'TUSD CVA'!$Q$23)*(1 - 0.1)</f>
        <v>0</v>
      </c>
      <c r="R23" s="13">
        <v>0</v>
      </c>
      <c r="S23" s="13">
        <f>('TUSD BE'!$S$23+'TUSD BF'!$S$23+'TUSD CVA'!$S$23)*(1 - 0.1)</f>
        <v>0</v>
      </c>
      <c r="T23" s="13">
        <f>('TUSD BE'!$U$23+'TUSD BF'!$U$23+'TUSD CVA'!$U$23)*(1 - 0.1)</f>
        <v>0</v>
      </c>
      <c r="U23" s="13">
        <f>('TUSD BE'!$V$23+'TUSD BF'!$V$23+'TUSD CVA'!$V$23)*(1 - 0.1)</f>
        <v>0</v>
      </c>
      <c r="V23" s="13">
        <f>('TUSD BE'!$W$23+'TUSD BF'!$W$23+'TUSD CVA'!$W$23)*(1 - 0.1)</f>
        <v>0</v>
      </c>
      <c r="W23" s="13">
        <f>('TUSD BE'!$X$23+'TUSD BF'!$X$23+'TUSD CVA'!$X$23)*(1 - 0.1)</f>
        <v>0</v>
      </c>
      <c r="X23" s="13">
        <f>('TUSD BE'!$Y$23+'TUSD BF'!$Y$23+'TUSD CVA'!$Y$23)*(1 - 0.1)</f>
        <v>141.14555318615371</v>
      </c>
      <c r="Y23" s="13">
        <f>('TUSD BE'!$Z$23+'TUSD BF'!$Z$23+'TUSD CVA'!$Z$23)*(1 - 0.1)</f>
        <v>0</v>
      </c>
      <c r="Z23" s="13">
        <f>('TUSD BE'!$AA$23+'TUSD BF'!$AA$23+'TUSD CVA'!$AA$23)*(1 - 0.1)</f>
        <v>0</v>
      </c>
      <c r="AA23" s="13">
        <f>('TUSD BE'!$AC$23+'TUSD BF'!$AC$23+'TUSD CVA'!$AC$23)*(1 - 0.1)</f>
        <v>162.51401610494258</v>
      </c>
      <c r="AB23" s="13">
        <f ca="1">('TUSD BE'!$AE$23+'TUSD BF'!$AE$23+'TUSD CVA'!$AE$23)*(1 - 0.1)</f>
        <v>0</v>
      </c>
      <c r="AC23" s="13">
        <f ca="1">('TUSD BE'!$AF$23+'TUSD BF'!$AF$23+'TUSD CVA'!$AF$23)*(1 - 0.1)</f>
        <v>0</v>
      </c>
      <c r="AD23" s="13">
        <f>('TUSD BE'!$AH$23+'TUSD BF'!$AH$23+'TUSD CVA'!$AH$23)*(1 - 0.1)</f>
        <v>11.243314274140831</v>
      </c>
      <c r="AE23" s="13">
        <f>('TUSD BE'!$AI$23+'TUSD BF'!$AI$23+'TUSD CVA'!$AI$23)*(1 - 0.1)</f>
        <v>0</v>
      </c>
      <c r="AF23" s="13">
        <f ca="1">('TUSD BE'!$AJ$23+'TUSD BF'!$AJ$23+'TUSD CVA'!$AJ$23)*(1 - 0.1)</f>
        <v>0</v>
      </c>
      <c r="AG23" s="13">
        <f ca="1">('TUSD BE'!$AK$23+'TUSD BF'!$AK$23+'TUSD CVA'!$AK$23)*(1 - 0.1)</f>
        <v>0</v>
      </c>
      <c r="AI23" s="13">
        <v>0</v>
      </c>
      <c r="AJ23" s="13">
        <v>1.39826289182521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120.465865631165</v>
      </c>
      <c r="AV23" s="13">
        <v>0</v>
      </c>
      <c r="AW23" s="13">
        <v>0</v>
      </c>
      <c r="AX23" s="13">
        <v>126.72047663741</v>
      </c>
      <c r="AY23" s="13">
        <v>0</v>
      </c>
      <c r="AZ23" s="13">
        <v>0</v>
      </c>
      <c r="BA23" s="13">
        <v>16.337164571780502</v>
      </c>
      <c r="BB23" s="13">
        <v>0</v>
      </c>
      <c r="BC23" s="13">
        <v>0</v>
      </c>
      <c r="BD23" s="13">
        <v>0</v>
      </c>
    </row>
    <row r="24" spans="1:56" ht="11.25" customHeight="1" x14ac:dyDescent="0.25">
      <c r="A24" s="103"/>
      <c r="B24" s="103"/>
      <c r="C24" s="103"/>
      <c r="D24" s="23" t="s">
        <v>40</v>
      </c>
      <c r="E24" s="23" t="s">
        <v>25</v>
      </c>
      <c r="F24" s="23" t="s">
        <v>25</v>
      </c>
      <c r="G24" s="24" t="s">
        <v>67</v>
      </c>
      <c r="H24" s="24" t="s">
        <v>60</v>
      </c>
      <c r="I24" s="24">
        <f>'MERCADO TUSD'!$U$21</f>
        <v>81.510999999999996</v>
      </c>
      <c r="J24" s="15"/>
      <c r="L24" s="13">
        <f>('TUSD BE'!$L$24+'TUSD BF'!$L$24+'TUSD CVA'!$L$24)*1</f>
        <v>0</v>
      </c>
      <c r="M24" s="13">
        <f>('TUSD BE'!$M$24+'TUSD BF'!$M$24+'TUSD CVA'!$M$24)*1</f>
        <v>2.2383507497439861</v>
      </c>
      <c r="N24" s="13">
        <f ca="1">('TUSD BE'!$N$24+'TUSD BF'!$N$24+'TUSD CVA'!$N$24)*1</f>
        <v>0</v>
      </c>
      <c r="O24" s="13">
        <f>('TUSD BE'!$O$24+'TUSD BF'!$O$24+'TUSD CVA'!$O$24)*1</f>
        <v>0</v>
      </c>
      <c r="P24" s="13">
        <v>0</v>
      </c>
      <c r="Q24" s="13">
        <f>('TUSD BE'!$Q$24+'TUSD BF'!$Q$24+'TUSD CVA'!$Q$24)*1</f>
        <v>0</v>
      </c>
      <c r="R24" s="13">
        <v>0</v>
      </c>
      <c r="S24" s="13">
        <f>('TUSD BE'!$S$24+'TUSD BF'!$S$24+'TUSD CVA'!$S$24)*1</f>
        <v>0</v>
      </c>
      <c r="T24" s="13">
        <f>('TUSD BE'!$U$24+'TUSD BF'!$U$24+'TUSD CVA'!$U$24)*1</f>
        <v>0</v>
      </c>
      <c r="U24" s="13">
        <f>('TUSD BE'!$V$24+'TUSD BF'!$V$24+'TUSD CVA'!$V$24)*1</f>
        <v>0</v>
      </c>
      <c r="V24" s="13">
        <f>('TUSD BE'!$W$24+'TUSD BF'!$W$24+'TUSD CVA'!$W$24)*1</f>
        <v>0</v>
      </c>
      <c r="W24" s="13">
        <f>('TUSD BE'!$X$24+'TUSD BF'!$X$24+'TUSD CVA'!$X$24)*1</f>
        <v>0</v>
      </c>
      <c r="X24" s="13">
        <f>('TUSD BE'!$Y$24+'TUSD BF'!$Y$24+'TUSD CVA'!$Y$24)*1</f>
        <v>156.82839242905968</v>
      </c>
      <c r="Y24" s="13">
        <f>('TUSD BE'!$Z$24+'TUSD BF'!$Z$24+'TUSD CVA'!$Z$24)*1</f>
        <v>0</v>
      </c>
      <c r="Z24" s="13">
        <f>('TUSD BE'!$AA$24+'TUSD BF'!$AA$24+'TUSD CVA'!$AA$24)*1</f>
        <v>0</v>
      </c>
      <c r="AA24" s="13">
        <f>('TUSD BE'!$AC$24+'TUSD BF'!$AC$24+'TUSD CVA'!$AC$24)*1</f>
        <v>180.57112900549174</v>
      </c>
      <c r="AB24" s="13">
        <f ca="1">('TUSD BE'!$AE$24+'TUSD BF'!$AE$24+'TUSD CVA'!$AE$24)*1</f>
        <v>0</v>
      </c>
      <c r="AC24" s="13">
        <f ca="1">('TUSD BE'!$AF$24+'TUSD BF'!$AF$24+'TUSD CVA'!$AF$24)*1</f>
        <v>0</v>
      </c>
      <c r="AD24" s="13">
        <f>('TUSD BE'!$AH$24+'TUSD BF'!$AH$24+'TUSD CVA'!$AH$24)*1</f>
        <v>12.492571415712034</v>
      </c>
      <c r="AE24" s="13">
        <f>('TUSD BE'!$AI$24+'TUSD BF'!$AI$24+'TUSD CVA'!$AI$24)*1</f>
        <v>0</v>
      </c>
      <c r="AF24" s="13">
        <f ca="1">('TUSD BE'!$AJ$24+'TUSD BF'!$AJ$24+'TUSD CVA'!$AJ$24)*1</f>
        <v>0</v>
      </c>
      <c r="AG24" s="13">
        <f ca="1">('TUSD BE'!$AK$24+'TUSD BF'!$AK$24+'TUSD CVA'!$AK$24)*1</f>
        <v>0</v>
      </c>
      <c r="AI24" s="13">
        <v>0</v>
      </c>
      <c r="AJ24" s="13">
        <v>1.5536254353613499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133.85096181240601</v>
      </c>
      <c r="AV24" s="13">
        <v>0</v>
      </c>
      <c r="AW24" s="13">
        <v>0</v>
      </c>
      <c r="AX24" s="13">
        <v>140.80052959712199</v>
      </c>
      <c r="AY24" s="13">
        <v>0</v>
      </c>
      <c r="AZ24" s="13">
        <v>0</v>
      </c>
      <c r="BA24" s="13">
        <v>18.1524050797561</v>
      </c>
      <c r="BB24" s="13">
        <v>0</v>
      </c>
      <c r="BC24" s="13">
        <v>0</v>
      </c>
      <c r="BD24" s="13">
        <v>0</v>
      </c>
    </row>
    <row r="25" spans="1:56" ht="11.25" customHeight="1" x14ac:dyDescent="0.25">
      <c r="A25" s="103"/>
      <c r="B25" s="103" t="s">
        <v>78</v>
      </c>
      <c r="C25" s="103" t="s">
        <v>24</v>
      </c>
      <c r="D25" s="23" t="s">
        <v>24</v>
      </c>
      <c r="E25" s="23" t="s">
        <v>25</v>
      </c>
      <c r="F25" s="23" t="s">
        <v>25</v>
      </c>
      <c r="G25" s="24" t="s">
        <v>67</v>
      </c>
      <c r="H25" s="24" t="s">
        <v>60</v>
      </c>
      <c r="I25" s="24">
        <f>'MERCADO TUSD'!$U$22</f>
        <v>0</v>
      </c>
      <c r="J25" s="15"/>
      <c r="L25" s="13">
        <f>('TUSD BE'!$L$25+'TUSD BF'!$L$25+'TUSD CVA'!$L$25)*1</f>
        <v>31.02029800921056</v>
      </c>
      <c r="M25" s="13">
        <f>('TUSD BE'!$M$25+'TUSD BF'!$M$25+'TUSD CVA'!$M$25)*1</f>
        <v>2.2383507497439861</v>
      </c>
      <c r="N25" s="13">
        <f ca="1">('TUSD BE'!$N$25+'TUSD BF'!$N$25+'TUSD CVA'!$N$25)*1</f>
        <v>0</v>
      </c>
      <c r="O25" s="13">
        <f>('TUSD BE'!$O$25+'TUSD BF'!$O$25+'TUSD CVA'!$O$25)*1</f>
        <v>0</v>
      </c>
      <c r="P25" s="13">
        <f>('TUSD BE'!$P$25+'TUSD BF'!$P$25+'TUSD CVA'!$P$25)*1</f>
        <v>0</v>
      </c>
      <c r="Q25" s="13">
        <f>('TUSD BE'!$Q$25+'TUSD BF'!$Q$25+'TUSD CVA'!$Q$25)*1</f>
        <v>88.880571470271917</v>
      </c>
      <c r="R25" s="13">
        <f>('TUSD BE'!$R$25+'TUSD BF'!$R$25+'TUSD CVA'!$R$25)*1</f>
        <v>14.060328828195003</v>
      </c>
      <c r="S25" s="13">
        <f>('TUSD BE'!$S$25+'TUSD BF'!$S$25+'TUSD CVA'!$S$25)*1</f>
        <v>0</v>
      </c>
      <c r="T25" s="13">
        <f>('TUSD BE'!$U$25+'TUSD BF'!$U$25+'TUSD CVA'!$U$25)*1</f>
        <v>0</v>
      </c>
      <c r="U25" s="13">
        <f>('TUSD BE'!$V$25+'TUSD BF'!$V$25+'TUSD CVA'!$V$25)*1</f>
        <v>0</v>
      </c>
      <c r="V25" s="13">
        <f>('TUSD BE'!$W$25+'TUSD BF'!$W$25+'TUSD CVA'!$W$25)*1</f>
        <v>0</v>
      </c>
      <c r="W25" s="13">
        <f>('TUSD BE'!$X$25+'TUSD BF'!$X$25+'TUSD CVA'!$X$25)*1</f>
        <v>0</v>
      </c>
      <c r="X25" s="13">
        <f>('TUSD BE'!$Y$25+'TUSD BF'!$Y$25+'TUSD CVA'!$Y$25)*1</f>
        <v>156.82839242905968</v>
      </c>
      <c r="Y25" s="13">
        <f>('TUSD BE'!$Z$25+'TUSD BF'!$Z$25+'TUSD CVA'!$Z$25)*1</f>
        <v>0</v>
      </c>
      <c r="Z25" s="13">
        <f>('TUSD BE'!$AA$25+'TUSD BF'!$AA$25+'TUSD CVA'!$AA$25)*1</f>
        <v>0</v>
      </c>
      <c r="AA25" s="13">
        <f>('TUSD BE'!$AC$25+'TUSD BF'!$AC$25+'TUSD CVA'!$AC$25)*1</f>
        <v>180.57112900549174</v>
      </c>
      <c r="AB25" s="13">
        <f ca="1">('TUSD BE'!$AE$25+'TUSD BF'!$AE$25+'TUSD CVA'!$AE$25)*1</f>
        <v>0</v>
      </c>
      <c r="AC25" s="13">
        <f ca="1">('TUSD BE'!$AF$25+'TUSD BF'!$AF$25+'TUSD CVA'!$AF$25)*1</f>
        <v>0</v>
      </c>
      <c r="AD25" s="13">
        <f>('TUSD BE'!$AH$25+'TUSD BF'!$AH$25+'TUSD CVA'!$AH$25)*1</f>
        <v>12.492571415712034</v>
      </c>
      <c r="AE25" s="13">
        <f>('TUSD BE'!$AI$25+'TUSD BF'!$AI$25+'TUSD CVA'!$AI$25)*1</f>
        <v>0</v>
      </c>
      <c r="AF25" s="13">
        <f ca="1">('TUSD BE'!$AJ$25+'TUSD BF'!$AJ$25+'TUSD CVA'!$AJ$25)*1</f>
        <v>0</v>
      </c>
      <c r="AG25" s="13">
        <f ca="1">('TUSD BE'!$AK$25+'TUSD BF'!$AK$25+'TUSD CVA'!$AK$25)*1</f>
        <v>0</v>
      </c>
      <c r="AI25" s="13">
        <v>32.401508938864403</v>
      </c>
      <c r="AJ25" s="13">
        <v>1.5536254353613499</v>
      </c>
      <c r="AK25" s="13">
        <v>0</v>
      </c>
      <c r="AL25" s="13">
        <v>0</v>
      </c>
      <c r="AM25" s="13">
        <v>0</v>
      </c>
      <c r="AN25" s="13">
        <v>50.079900799256002</v>
      </c>
      <c r="AO25" s="13">
        <v>8.0148878204039207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133.85096181240601</v>
      </c>
      <c r="AV25" s="13">
        <v>0</v>
      </c>
      <c r="AW25" s="13">
        <v>0</v>
      </c>
      <c r="AX25" s="13">
        <v>140.80052959712199</v>
      </c>
      <c r="AY25" s="13">
        <v>0</v>
      </c>
      <c r="AZ25" s="13">
        <v>0</v>
      </c>
      <c r="BA25" s="13">
        <v>18.1524050797561</v>
      </c>
      <c r="BB25" s="13">
        <v>0</v>
      </c>
      <c r="BC25" s="13">
        <v>0</v>
      </c>
      <c r="BD25" s="13">
        <v>0</v>
      </c>
    </row>
    <row r="26" spans="1:56" ht="11.25" customHeight="1" x14ac:dyDescent="0.25">
      <c r="A26" s="103"/>
      <c r="B26" s="103"/>
      <c r="C26" s="103"/>
      <c r="D26" s="23" t="s">
        <v>41</v>
      </c>
      <c r="E26" s="23" t="s">
        <v>25</v>
      </c>
      <c r="F26" s="23" t="s">
        <v>25</v>
      </c>
      <c r="G26" s="24" t="s">
        <v>67</v>
      </c>
      <c r="H26" s="24" t="s">
        <v>60</v>
      </c>
      <c r="I26" s="24">
        <f>'MERCADO TUSD'!$U$23</f>
        <v>0</v>
      </c>
      <c r="J26" s="15"/>
      <c r="L26" s="13">
        <f>('TUSD BE'!$L$26+'TUSD BF'!$L$26+'TUSD CVA'!$L$26)*(1 - 0.65)</f>
        <v>0</v>
      </c>
      <c r="M26" s="13">
        <f>('TUSD BE'!$M$26+'TUSD BF'!$M$26+'TUSD CVA'!$M$26)*(1 - 0.65)</f>
        <v>0.7834227624103951</v>
      </c>
      <c r="N26" s="13">
        <f ca="1">('TUSD BE'!$N$26+'TUSD BF'!$N$26+'TUSD CVA'!$N$26)*(1 - 0.65)</f>
        <v>0</v>
      </c>
      <c r="O26" s="13">
        <f>('TUSD BE'!$O$26+'TUSD BF'!$O$26+'TUSD CVA'!$O$26)*(1 - 0.65)</f>
        <v>0</v>
      </c>
      <c r="P26" s="13">
        <v>0</v>
      </c>
      <c r="Q26" s="13">
        <f>('TUSD BE'!$Q$26+'TUSD BF'!$Q$26+'TUSD CVA'!$Q$26)*(1 - 0.65)</f>
        <v>0</v>
      </c>
      <c r="R26" s="13">
        <v>0</v>
      </c>
      <c r="S26" s="13">
        <f>('TUSD BE'!$S$26+'TUSD BF'!$S$26+'TUSD CVA'!$S$26)*(1 - 0.65)</f>
        <v>0</v>
      </c>
      <c r="T26" s="13">
        <f>('TUSD BE'!$U$26+'TUSD BF'!$U$26+'TUSD CVA'!$U$26)*(1 - 0.65)</f>
        <v>0</v>
      </c>
      <c r="U26" s="13">
        <f>('TUSD BE'!$V$26+'TUSD BF'!$V$26+'TUSD CVA'!$V$26)*(1 - 0.65)</f>
        <v>0</v>
      </c>
      <c r="V26" s="13">
        <f>('TUSD BE'!$W$26+'TUSD BF'!$W$26+'TUSD CVA'!$W$26)*(1 - 0.65)</f>
        <v>0</v>
      </c>
      <c r="W26" s="13">
        <f>('TUSD BE'!$X$26+'TUSD BF'!$X$26+'TUSD CVA'!$X$26)*(1 - 0.65)</f>
        <v>0</v>
      </c>
      <c r="X26" s="13">
        <f>('TUSD BE'!$Y$26+'TUSD BF'!$Y$26+'TUSD CVA'!$Y$26)*(1 - 0.65)</f>
        <v>54.889937350170882</v>
      </c>
      <c r="Y26" s="13">
        <f>('TUSD BE'!$Z$26+'TUSD BF'!$Z$26+'TUSD CVA'!$Z$26)*(1 - 0.65)</f>
        <v>0</v>
      </c>
      <c r="Z26" s="13">
        <f>('TUSD BE'!$AA$26+'TUSD BF'!$AA$26+'TUSD CVA'!$AA$26)*(1 - 0.65)</f>
        <v>0</v>
      </c>
      <c r="AA26" s="13">
        <f>('TUSD BE'!$AC$26+'TUSD BF'!$AC$26+'TUSD CVA'!$AC$26)*(1 - 0.65)</f>
        <v>63.199895151922107</v>
      </c>
      <c r="AB26" s="13">
        <f ca="1">('TUSD BE'!$AE$26+'TUSD BF'!$AE$26+'TUSD CVA'!$AE$26)*(1 - 0.65)</f>
        <v>0</v>
      </c>
      <c r="AC26" s="13">
        <f ca="1">('TUSD BE'!$AF$26+'TUSD BF'!$AF$26+'TUSD CVA'!$AF$26)*(1 - 0.65)</f>
        <v>0</v>
      </c>
      <c r="AD26" s="13">
        <f>('TUSD BE'!$AH$26+'TUSD BF'!$AH$26+'TUSD CVA'!$AH$26)*(1 - 0.65)</f>
        <v>4.3723999954992117</v>
      </c>
      <c r="AE26" s="13">
        <f>('TUSD BE'!$AI$26+'TUSD BF'!$AI$26+'TUSD CVA'!$AI$26)*(1 - 0.65)</f>
        <v>0</v>
      </c>
      <c r="AF26" s="13">
        <f ca="1">('TUSD BE'!$AJ$26+'TUSD BF'!$AJ$26+'TUSD CVA'!$AJ$26)*(1 - 0.65)</f>
        <v>0</v>
      </c>
      <c r="AG26" s="13">
        <f ca="1">('TUSD BE'!$AK$26+'TUSD BF'!$AK$26+'TUSD CVA'!$AK$26)*(1 - 0.65)</f>
        <v>0</v>
      </c>
      <c r="AI26" s="13">
        <v>0</v>
      </c>
      <c r="AJ26" s="13">
        <v>0.54376890237647102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46.847836634342002</v>
      </c>
      <c r="AV26" s="13">
        <v>0</v>
      </c>
      <c r="AW26" s="13">
        <v>0</v>
      </c>
      <c r="AX26" s="13">
        <v>49.280185358992703</v>
      </c>
      <c r="AY26" s="13">
        <v>0</v>
      </c>
      <c r="AZ26" s="13">
        <v>0</v>
      </c>
      <c r="BA26" s="13">
        <v>6.3533417779146504</v>
      </c>
      <c r="BB26" s="13">
        <v>0</v>
      </c>
      <c r="BC26" s="13">
        <v>0</v>
      </c>
      <c r="BD26" s="13">
        <v>0</v>
      </c>
    </row>
    <row r="27" spans="1:56" ht="11.25" customHeight="1" x14ac:dyDescent="0.25">
      <c r="A27" s="103"/>
      <c r="B27" s="103"/>
      <c r="C27" s="103"/>
      <c r="D27" s="23" t="s">
        <v>42</v>
      </c>
      <c r="E27" s="23" t="s">
        <v>25</v>
      </c>
      <c r="F27" s="23" t="s">
        <v>25</v>
      </c>
      <c r="G27" s="24" t="s">
        <v>67</v>
      </c>
      <c r="H27" s="24" t="s">
        <v>60</v>
      </c>
      <c r="I27" s="24">
        <f>'MERCADO TUSD'!$U$24</f>
        <v>0</v>
      </c>
      <c r="J27" s="15"/>
      <c r="L27" s="13">
        <f>('TUSD BE'!$L$27+'TUSD BF'!$L$27+'TUSD CVA'!$L$27)*(1 - 0.4)</f>
        <v>0</v>
      </c>
      <c r="M27" s="13">
        <f>('TUSD BE'!$M$27+'TUSD BF'!$M$27+'TUSD CVA'!$M$27)*(1 - 0.4)</f>
        <v>1.3430104498463915</v>
      </c>
      <c r="N27" s="13">
        <f ca="1">('TUSD BE'!$N$27+'TUSD BF'!$N$27+'TUSD CVA'!$N$27)*(1 - 0.4)</f>
        <v>0</v>
      </c>
      <c r="O27" s="13">
        <f>('TUSD BE'!$O$27+'TUSD BF'!$O$27+'TUSD CVA'!$O$27)*(1 - 0.4)</f>
        <v>0</v>
      </c>
      <c r="P27" s="13">
        <v>0</v>
      </c>
      <c r="Q27" s="13">
        <f>('TUSD BE'!$Q$27+'TUSD BF'!$Q$27+'TUSD CVA'!$Q$27)*(1 - 0.4)</f>
        <v>0</v>
      </c>
      <c r="R27" s="13">
        <v>0</v>
      </c>
      <c r="S27" s="13">
        <f>('TUSD BE'!$S$27+'TUSD BF'!$S$27+'TUSD CVA'!$S$27)*(1 - 0.4)</f>
        <v>0</v>
      </c>
      <c r="T27" s="13">
        <f>('TUSD BE'!$U$27+'TUSD BF'!$U$27+'TUSD CVA'!$U$27)*(1 - 0.4)</f>
        <v>0</v>
      </c>
      <c r="U27" s="13">
        <f>('TUSD BE'!$V$27+'TUSD BF'!$V$27+'TUSD CVA'!$V$27)*(1 - 0.4)</f>
        <v>0</v>
      </c>
      <c r="V27" s="13">
        <f>('TUSD BE'!$W$27+'TUSD BF'!$W$27+'TUSD CVA'!$W$27)*(1 - 0.4)</f>
        <v>0</v>
      </c>
      <c r="W27" s="13">
        <f>('TUSD BE'!$X$27+'TUSD BF'!$X$27+'TUSD CVA'!$X$27)*(1 - 0.4)</f>
        <v>0</v>
      </c>
      <c r="X27" s="13">
        <f>('TUSD BE'!$Y$27+'TUSD BF'!$Y$27+'TUSD CVA'!$Y$27)*(1 - 0.4)</f>
        <v>94.097035457435808</v>
      </c>
      <c r="Y27" s="13">
        <f>('TUSD BE'!$Z$27+'TUSD BF'!$Z$27+'TUSD CVA'!$Z$27)*(1 - 0.4)</f>
        <v>0</v>
      </c>
      <c r="Z27" s="13">
        <f>('TUSD BE'!$AA$27+'TUSD BF'!$AA$27+'TUSD CVA'!$AA$27)*(1 - 0.4)</f>
        <v>0</v>
      </c>
      <c r="AA27" s="13">
        <f>('TUSD BE'!$AC$27+'TUSD BF'!$AC$27+'TUSD CVA'!$AC$27)*(1 - 0.4)</f>
        <v>108.34267740329504</v>
      </c>
      <c r="AB27" s="13">
        <f ca="1">('TUSD BE'!$AE$27+'TUSD BF'!$AE$27+'TUSD CVA'!$AE$27)*(1 - 0.4)</f>
        <v>0</v>
      </c>
      <c r="AC27" s="13">
        <f ca="1">('TUSD BE'!$AF$27+'TUSD BF'!$AF$27+'TUSD CVA'!$AF$27)*(1 - 0.4)</f>
        <v>0</v>
      </c>
      <c r="AD27" s="13">
        <f>('TUSD BE'!$AH$27+'TUSD BF'!$AH$27+'TUSD CVA'!$AH$27)*(1 - 0.4)</f>
        <v>7.4955428494272196</v>
      </c>
      <c r="AE27" s="13">
        <f>('TUSD BE'!$AI$27+'TUSD BF'!$AI$27+'TUSD CVA'!$AI$27)*(1 - 0.4)</f>
        <v>0</v>
      </c>
      <c r="AF27" s="13">
        <f ca="1">('TUSD BE'!$AJ$27+'TUSD BF'!$AJ$27+'TUSD CVA'!$AJ$27)*(1 - 0.4)</f>
        <v>0</v>
      </c>
      <c r="AG27" s="13">
        <f ca="1">('TUSD BE'!$AK$27+'TUSD BF'!$AK$27+'TUSD CVA'!$AK$27)*(1 - 0.4)</f>
        <v>0</v>
      </c>
      <c r="AI27" s="13">
        <v>0</v>
      </c>
      <c r="AJ27" s="13">
        <v>0.93217526121680705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80.310577087443505</v>
      </c>
      <c r="AV27" s="13">
        <v>0</v>
      </c>
      <c r="AW27" s="13">
        <v>0</v>
      </c>
      <c r="AX27" s="13">
        <v>84.480317758273202</v>
      </c>
      <c r="AY27" s="13">
        <v>0</v>
      </c>
      <c r="AZ27" s="13">
        <v>0</v>
      </c>
      <c r="BA27" s="13">
        <v>10.8914430478537</v>
      </c>
      <c r="BB27" s="13">
        <v>0</v>
      </c>
      <c r="BC27" s="13">
        <v>0</v>
      </c>
      <c r="BD27" s="13">
        <v>0</v>
      </c>
    </row>
    <row r="28" spans="1:56" ht="11.25" customHeight="1" x14ac:dyDescent="0.25">
      <c r="A28" s="103"/>
      <c r="B28" s="103"/>
      <c r="C28" s="103"/>
      <c r="D28" s="23" t="s">
        <v>39</v>
      </c>
      <c r="E28" s="23" t="s">
        <v>25</v>
      </c>
      <c r="F28" s="23" t="s">
        <v>25</v>
      </c>
      <c r="G28" s="24" t="s">
        <v>67</v>
      </c>
      <c r="H28" s="24" t="s">
        <v>60</v>
      </c>
      <c r="I28" s="24">
        <f>'MERCADO TUSD'!$U$25</f>
        <v>0</v>
      </c>
      <c r="J28" s="15"/>
      <c r="L28" s="13">
        <f>('TUSD BE'!$L$28+'TUSD BF'!$L$28+'TUSD CVA'!$L$28)*(1 - 0.1)</f>
        <v>0</v>
      </c>
      <c r="M28" s="13">
        <f>('TUSD BE'!$M$28+'TUSD BF'!$M$28+'TUSD CVA'!$M$28)*(1 - 0.1)</f>
        <v>2.0145156747695876</v>
      </c>
      <c r="N28" s="13">
        <f ca="1">('TUSD BE'!$N$28+'TUSD BF'!$N$28+'TUSD CVA'!$N$28)*(1 - 0.1)</f>
        <v>0</v>
      </c>
      <c r="O28" s="13">
        <f>('TUSD BE'!$O$28+'TUSD BF'!$O$28+'TUSD CVA'!$O$28)*(1 - 0.1)</f>
        <v>0</v>
      </c>
      <c r="P28" s="13">
        <v>0</v>
      </c>
      <c r="Q28" s="13">
        <f>('TUSD BE'!$Q$28+'TUSD BF'!$Q$28+'TUSD CVA'!$Q$28)*(1 - 0.1)</f>
        <v>0</v>
      </c>
      <c r="R28" s="13">
        <v>0</v>
      </c>
      <c r="S28" s="13">
        <f>('TUSD BE'!$S$28+'TUSD BF'!$S$28+'TUSD CVA'!$S$28)*(1 - 0.1)</f>
        <v>0</v>
      </c>
      <c r="T28" s="13">
        <f>('TUSD BE'!$U$28+'TUSD BF'!$U$28+'TUSD CVA'!$U$28)*(1 - 0.1)</f>
        <v>0</v>
      </c>
      <c r="U28" s="13">
        <f>('TUSD BE'!$V$28+'TUSD BF'!$V$28+'TUSD CVA'!$V$28)*(1 - 0.1)</f>
        <v>0</v>
      </c>
      <c r="V28" s="13">
        <f>('TUSD BE'!$W$28+'TUSD BF'!$W$28+'TUSD CVA'!$W$28)*(1 - 0.1)</f>
        <v>0</v>
      </c>
      <c r="W28" s="13">
        <f>('TUSD BE'!$X$28+'TUSD BF'!$X$28+'TUSD CVA'!$X$28)*(1 - 0.1)</f>
        <v>0</v>
      </c>
      <c r="X28" s="13">
        <f>('TUSD BE'!$Y$28+'TUSD BF'!$Y$28+'TUSD CVA'!$Y$28)*(1 - 0.1)</f>
        <v>141.14555318615371</v>
      </c>
      <c r="Y28" s="13">
        <f>('TUSD BE'!$Z$28+'TUSD BF'!$Z$28+'TUSD CVA'!$Z$28)*(1 - 0.1)</f>
        <v>0</v>
      </c>
      <c r="Z28" s="13">
        <f>('TUSD BE'!$AA$28+'TUSD BF'!$AA$28+'TUSD CVA'!$AA$28)*(1 - 0.1)</f>
        <v>0</v>
      </c>
      <c r="AA28" s="13">
        <f>('TUSD BE'!$AC$28+'TUSD BF'!$AC$28+'TUSD CVA'!$AC$28)*(1 - 0.1)</f>
        <v>162.51401610494258</v>
      </c>
      <c r="AB28" s="13">
        <f ca="1">('TUSD BE'!$AE$28+'TUSD BF'!$AE$28+'TUSD CVA'!$AE$28)*(1 - 0.1)</f>
        <v>0</v>
      </c>
      <c r="AC28" s="13">
        <f ca="1">('TUSD BE'!$AF$28+'TUSD BF'!$AF$28+'TUSD CVA'!$AF$28)*(1 - 0.1)</f>
        <v>0</v>
      </c>
      <c r="AD28" s="13">
        <f>('TUSD BE'!$AH$28+'TUSD BF'!$AH$28+'TUSD CVA'!$AH$28)*(1 - 0.1)</f>
        <v>11.243314274140831</v>
      </c>
      <c r="AE28" s="13">
        <f>('TUSD BE'!$AI$28+'TUSD BF'!$AI$28+'TUSD CVA'!$AI$28)*(1 - 0.1)</f>
        <v>0</v>
      </c>
      <c r="AF28" s="13">
        <f ca="1">('TUSD BE'!$AJ$28+'TUSD BF'!$AJ$28+'TUSD CVA'!$AJ$28)*(1 - 0.1)</f>
        <v>0</v>
      </c>
      <c r="AG28" s="13">
        <f ca="1">('TUSD BE'!$AK$28+'TUSD BF'!$AK$28+'TUSD CVA'!$AK$28)*(1 - 0.1)</f>
        <v>0</v>
      </c>
      <c r="AI28" s="13">
        <v>0</v>
      </c>
      <c r="AJ28" s="13">
        <v>1.39826289182521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120.465865631165</v>
      </c>
      <c r="AV28" s="13">
        <v>0</v>
      </c>
      <c r="AW28" s="13">
        <v>0</v>
      </c>
      <c r="AX28" s="13">
        <v>126.72047663741</v>
      </c>
      <c r="AY28" s="13">
        <v>0</v>
      </c>
      <c r="AZ28" s="13">
        <v>0</v>
      </c>
      <c r="BA28" s="13">
        <v>16.337164571780502</v>
      </c>
      <c r="BB28" s="13">
        <v>0</v>
      </c>
      <c r="BC28" s="13">
        <v>0</v>
      </c>
      <c r="BD28" s="13">
        <v>0</v>
      </c>
    </row>
    <row r="29" spans="1:56" ht="11.25" customHeight="1" x14ac:dyDescent="0.25">
      <c r="A29" s="103"/>
      <c r="B29" s="103"/>
      <c r="C29" s="103"/>
      <c r="D29" s="23" t="s">
        <v>40</v>
      </c>
      <c r="E29" s="23" t="s">
        <v>25</v>
      </c>
      <c r="F29" s="23" t="s">
        <v>25</v>
      </c>
      <c r="G29" s="24" t="s">
        <v>67</v>
      </c>
      <c r="H29" s="24" t="s">
        <v>60</v>
      </c>
      <c r="I29" s="24">
        <f>'MERCADO TUSD'!$U$26</f>
        <v>0</v>
      </c>
      <c r="J29" s="15"/>
      <c r="L29" s="13">
        <f>('TUSD BE'!$L$29+'TUSD BF'!$L$29+'TUSD CVA'!$L$29)*1</f>
        <v>0</v>
      </c>
      <c r="M29" s="13">
        <f>('TUSD BE'!$M$29+'TUSD BF'!$M$29+'TUSD CVA'!$M$29)*1</f>
        <v>2.2383507497439861</v>
      </c>
      <c r="N29" s="13">
        <f ca="1">('TUSD BE'!$N$29+'TUSD BF'!$N$29+'TUSD CVA'!$N$29)*1</f>
        <v>0</v>
      </c>
      <c r="O29" s="13">
        <f>('TUSD BE'!$O$29+'TUSD BF'!$O$29+'TUSD CVA'!$O$29)*1</f>
        <v>0</v>
      </c>
      <c r="P29" s="13">
        <v>0</v>
      </c>
      <c r="Q29" s="13">
        <f>('TUSD BE'!$Q$29+'TUSD BF'!$Q$29+'TUSD CVA'!$Q$29)*1</f>
        <v>0</v>
      </c>
      <c r="R29" s="13">
        <v>0</v>
      </c>
      <c r="S29" s="13">
        <f>('TUSD BE'!$S$29+'TUSD BF'!$S$29+'TUSD CVA'!$S$29)*1</f>
        <v>0</v>
      </c>
      <c r="T29" s="13">
        <f>('TUSD BE'!$U$29+'TUSD BF'!$U$29+'TUSD CVA'!$U$29)*1</f>
        <v>0</v>
      </c>
      <c r="U29" s="13">
        <f>('TUSD BE'!$V$29+'TUSD BF'!$V$29+'TUSD CVA'!$V$29)*1</f>
        <v>0</v>
      </c>
      <c r="V29" s="13">
        <f>('TUSD BE'!$W$29+'TUSD BF'!$W$29+'TUSD CVA'!$W$29)*1</f>
        <v>0</v>
      </c>
      <c r="W29" s="13">
        <f>('TUSD BE'!$X$29+'TUSD BF'!$X$29+'TUSD CVA'!$X$29)*1</f>
        <v>0</v>
      </c>
      <c r="X29" s="13">
        <f>('TUSD BE'!$Y$29+'TUSD BF'!$Y$29+'TUSD CVA'!$Y$29)*1</f>
        <v>156.82839242905968</v>
      </c>
      <c r="Y29" s="13">
        <f>('TUSD BE'!$Z$29+'TUSD BF'!$Z$29+'TUSD CVA'!$Z$29)*1</f>
        <v>0</v>
      </c>
      <c r="Z29" s="13">
        <f>('TUSD BE'!$AA$29+'TUSD BF'!$AA$29+'TUSD CVA'!$AA$29)*1</f>
        <v>0</v>
      </c>
      <c r="AA29" s="13">
        <f>('TUSD BE'!$AC$29+'TUSD BF'!$AC$29+'TUSD CVA'!$AC$29)*1</f>
        <v>180.57112900549174</v>
      </c>
      <c r="AB29" s="13">
        <f ca="1">('TUSD BE'!$AE$29+'TUSD BF'!$AE$29+'TUSD CVA'!$AE$29)*1</f>
        <v>0</v>
      </c>
      <c r="AC29" s="13">
        <f ca="1">('TUSD BE'!$AF$29+'TUSD BF'!$AF$29+'TUSD CVA'!$AF$29)*1</f>
        <v>0</v>
      </c>
      <c r="AD29" s="13">
        <f>('TUSD BE'!$AH$29+'TUSD BF'!$AH$29+'TUSD CVA'!$AH$29)*1</f>
        <v>12.492571415712034</v>
      </c>
      <c r="AE29" s="13">
        <f>('TUSD BE'!$AI$29+'TUSD BF'!$AI$29+'TUSD CVA'!$AI$29)*1</f>
        <v>0</v>
      </c>
      <c r="AF29" s="13">
        <f ca="1">('TUSD BE'!$AJ$29+'TUSD BF'!$AJ$29+'TUSD CVA'!$AJ$29)*1</f>
        <v>0</v>
      </c>
      <c r="AG29" s="13">
        <f ca="1">('TUSD BE'!$AK$29+'TUSD BF'!$AK$29+'TUSD CVA'!$AK$29)*1</f>
        <v>0</v>
      </c>
      <c r="AI29" s="13">
        <v>0</v>
      </c>
      <c r="AJ29" s="13">
        <v>1.5536254353613499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133.85096181240601</v>
      </c>
      <c r="AV29" s="13">
        <v>0</v>
      </c>
      <c r="AW29" s="13">
        <v>0</v>
      </c>
      <c r="AX29" s="13">
        <v>140.80052959712199</v>
      </c>
      <c r="AY29" s="13">
        <v>0</v>
      </c>
      <c r="AZ29" s="13">
        <v>0</v>
      </c>
      <c r="BA29" s="13">
        <v>18.1524050797561</v>
      </c>
      <c r="BB29" s="13">
        <v>0</v>
      </c>
      <c r="BC29" s="13">
        <v>0</v>
      </c>
      <c r="BD29" s="13">
        <v>0</v>
      </c>
    </row>
    <row r="30" spans="1:56" ht="11.25" customHeight="1" x14ac:dyDescent="0.25">
      <c r="A30" s="103" t="s">
        <v>31</v>
      </c>
      <c r="B30" s="103" t="s">
        <v>76</v>
      </c>
      <c r="C30" s="103" t="s">
        <v>32</v>
      </c>
      <c r="D30" s="103" t="s">
        <v>25</v>
      </c>
      <c r="E30" s="103" t="s">
        <v>25</v>
      </c>
      <c r="F30" s="103" t="s">
        <v>25</v>
      </c>
      <c r="G30" s="24" t="s">
        <v>61</v>
      </c>
      <c r="H30" s="24" t="s">
        <v>60</v>
      </c>
      <c r="I30" s="24">
        <f>'MERCADO TUSD'!$U$27</f>
        <v>0</v>
      </c>
      <c r="J30" s="15"/>
      <c r="L30" s="13">
        <f>('TUSD BE'!$L$30+'TUSD BF'!$L$30+'TUSD CVA'!$L$30)*(1 - CUSTOS!$M$38)</f>
        <v>29.159080128657923</v>
      </c>
      <c r="M30" s="13">
        <f>('TUSD BE'!$M$30+'TUSD BF'!$M$30+'TUSD CVA'!$M$30)*(1 - CUSTOS!$M$38)</f>
        <v>2.1040497047593467</v>
      </c>
      <c r="N30" s="13">
        <f ca="1">('TUSD BE'!$N$30+'TUSD BF'!$N$30+'TUSD CVA'!$N$30)*(1 - CUSTOS!$M$38)</f>
        <v>0</v>
      </c>
      <c r="O30" s="13">
        <f>('TUSD BE'!$O$30+'TUSD BF'!$O$30+'TUSD CVA'!$O$30)*(1 - CUSTOS!$M$38)</f>
        <v>0</v>
      </c>
      <c r="P30" s="13">
        <f>('TUSD BE'!$P$30+'TUSD BF'!$P$30+'TUSD CVA'!$P$30)*(1 - CUSTOS!$M$38)</f>
        <v>0</v>
      </c>
      <c r="Q30" s="13">
        <f>('TUSD BE'!$Q$30+'TUSD BF'!$Q$30+'TUSD CVA'!$Q$30)*(1 - CUSTOS!$M$38)</f>
        <v>83.547737182055599</v>
      </c>
      <c r="R30" s="13">
        <f>('TUSD BE'!$R$30+'TUSD BF'!$R$30+'TUSD CVA'!$R$30)*(1 - CUSTOS!$M$38)</f>
        <v>13.216709098503301</v>
      </c>
      <c r="S30" s="13">
        <f>('TUSD BE'!$S$30+'TUSD BF'!$S$30+'TUSD CVA'!$S$30)*(1 - CUSTOS!$M$38)</f>
        <v>0</v>
      </c>
      <c r="T30" s="13">
        <f>('TUSD BE'!$U$30+'TUSD BF'!$U$30+'TUSD CVA'!$U$30)*(1 - CUSTOS!$M$38)</f>
        <v>0</v>
      </c>
      <c r="U30" s="13">
        <f>('TUSD BE'!$V$30+'TUSD BF'!$V$30+'TUSD CVA'!$V$30)*(1 - CUSTOS!$M$38)</f>
        <v>0</v>
      </c>
      <c r="V30" s="13">
        <f>('TUSD BE'!$W$30+'TUSD BF'!$W$30+'TUSD CVA'!$W$30)*(1 - CUSTOS!$M$38)</f>
        <v>0</v>
      </c>
      <c r="W30" s="13">
        <f>('TUSD BE'!$X$30+'TUSD BF'!$X$30+'TUSD CVA'!$X$30)*(1 - CUSTOS!$M$38)</f>
        <v>0</v>
      </c>
      <c r="X30" s="13">
        <f>('TUSD BE'!$Y$30+'TUSD BF'!$Y$30+'TUSD CVA'!$Y$30)*(1 - CUSTOS!$M$38)</f>
        <v>434.90316761850119</v>
      </c>
      <c r="Y30" s="13">
        <f>('TUSD BE'!$Z$30+'TUSD BF'!$Z$30+'TUSD CVA'!$Z$30)*(1 - CUSTOS!$M$38)</f>
        <v>0</v>
      </c>
      <c r="Z30" s="13">
        <f>('TUSD BE'!$AA$30+'TUSD BF'!$AA$30+'TUSD CVA'!$AA$30)*(1 - CUSTOS!$M$38)</f>
        <v>0</v>
      </c>
      <c r="AA30" s="13">
        <f>('TUSD BE'!$AC$30+'TUSD BF'!$AC$30+'TUSD CVA'!$AC$30)*(1 - CUSTOS!$M$38)</f>
        <v>500.72375216795217</v>
      </c>
      <c r="AB30" s="13">
        <f ca="1">('TUSD BE'!$AE$30+'TUSD BF'!$AE$30+'TUSD CVA'!$AE$30)*(1 - CUSTOS!$M$38)</f>
        <v>0</v>
      </c>
      <c r="AC30" s="13">
        <f ca="1">('TUSD BE'!$AF$30+'TUSD BF'!$AF$30+'TUSD CVA'!$AF$30)*(1 - CUSTOS!$M$38)</f>
        <v>0</v>
      </c>
      <c r="AD30" s="13">
        <f>('TUSD BE'!$AH$30+'TUSD BF'!$AH$30+'TUSD CVA'!$AH$30)*(1 - CUSTOS!$M$38)</f>
        <v>11.74301713076931</v>
      </c>
      <c r="AE30" s="13">
        <f>('TUSD BE'!$AI$30+'TUSD BF'!$AI$30+'TUSD CVA'!$AI$30)*(1 - CUSTOS!$M$38)</f>
        <v>0</v>
      </c>
      <c r="AF30" s="13">
        <f ca="1">('TUSD BE'!$AJ$30+'TUSD BF'!$AJ$30+'TUSD CVA'!$AJ$30)*(1 - CUSTOS!$M$38)</f>
        <v>0</v>
      </c>
      <c r="AG30" s="13">
        <f ca="1">('TUSD BE'!$AK$30+'TUSD BF'!$AK$30+'TUSD CVA'!$AK$30)*(1 - CUSTOS!$M$38)</f>
        <v>0</v>
      </c>
      <c r="AI30" s="13">
        <v>28.513327866200701</v>
      </c>
      <c r="AJ30" s="13">
        <v>1.3671903831179799</v>
      </c>
      <c r="AK30" s="13">
        <v>0</v>
      </c>
      <c r="AL30" s="13">
        <v>0</v>
      </c>
      <c r="AM30" s="13">
        <v>0</v>
      </c>
      <c r="AN30" s="13">
        <v>44.070312703345301</v>
      </c>
      <c r="AO30" s="13">
        <v>7.0531012819554499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347.49157997364699</v>
      </c>
      <c r="AV30" s="13">
        <v>0</v>
      </c>
      <c r="AW30" s="13">
        <v>0</v>
      </c>
      <c r="AX30" s="13">
        <v>365.51816202373197</v>
      </c>
      <c r="AY30" s="13">
        <v>0</v>
      </c>
      <c r="AZ30" s="13">
        <v>0</v>
      </c>
      <c r="BA30" s="13">
        <v>15.9741164701854</v>
      </c>
      <c r="BB30" s="13">
        <v>0</v>
      </c>
      <c r="BC30" s="13">
        <v>0</v>
      </c>
      <c r="BD30" s="13">
        <v>0</v>
      </c>
    </row>
    <row r="31" spans="1:56" ht="11.25" customHeight="1" x14ac:dyDescent="0.25">
      <c r="A31" s="103"/>
      <c r="B31" s="103"/>
      <c r="C31" s="103"/>
      <c r="D31" s="103"/>
      <c r="E31" s="103"/>
      <c r="F31" s="103"/>
      <c r="G31" s="24" t="s">
        <v>74</v>
      </c>
      <c r="H31" s="24" t="s">
        <v>60</v>
      </c>
      <c r="I31" s="24">
        <f>'MERCADO TUSD'!$U$28</f>
        <v>0</v>
      </c>
      <c r="J31" s="15"/>
      <c r="L31" s="13">
        <f>('TUSD BE'!$L$31+'TUSD BF'!$L$31+'TUSD CVA'!$L$31)*(1 - CUSTOS!$M$38)</f>
        <v>29.159080128657923</v>
      </c>
      <c r="M31" s="13">
        <f>('TUSD BE'!$M$31+'TUSD BF'!$M$31+'TUSD CVA'!$M$31)*(1 - CUSTOS!$M$38)</f>
        <v>2.1040497047593467</v>
      </c>
      <c r="N31" s="13">
        <f ca="1">('TUSD BE'!$N$31+'TUSD BF'!$N$31+'TUSD CVA'!$N$31)*(1 - CUSTOS!$M$38)</f>
        <v>0</v>
      </c>
      <c r="O31" s="13">
        <f>('TUSD BE'!$O$31+'TUSD BF'!$O$31+'TUSD CVA'!$O$31)*(1 - CUSTOS!$M$38)</f>
        <v>0</v>
      </c>
      <c r="P31" s="13">
        <f>('TUSD BE'!$P$31+'TUSD BF'!$P$31+'TUSD CVA'!$P$31)*(1 - CUSTOS!$M$38)</f>
        <v>0</v>
      </c>
      <c r="Q31" s="13">
        <f>('TUSD BE'!$Q$31+'TUSD BF'!$Q$31+'TUSD CVA'!$Q$31)*(1 - CUSTOS!$M$38)</f>
        <v>83.547737182055599</v>
      </c>
      <c r="R31" s="13">
        <f>('TUSD BE'!$R$31+'TUSD BF'!$R$31+'TUSD CVA'!$R$31)*(1 - CUSTOS!$M$38)</f>
        <v>13.216709098503301</v>
      </c>
      <c r="S31" s="13">
        <f>('TUSD BE'!$S$31+'TUSD BF'!$S$31+'TUSD CVA'!$S$31)*(1 - CUSTOS!$M$38)</f>
        <v>0</v>
      </c>
      <c r="T31" s="13">
        <f>('TUSD BE'!$U$31+'TUSD BF'!$U$31+'TUSD CVA'!$U$31)*(1 - CUSTOS!$M$38)</f>
        <v>0</v>
      </c>
      <c r="U31" s="13">
        <f>('TUSD BE'!$V$31+'TUSD BF'!$V$31+'TUSD CVA'!$V$31)*(1 - CUSTOS!$M$38)</f>
        <v>0</v>
      </c>
      <c r="V31" s="13">
        <f>('TUSD BE'!$W$31+'TUSD BF'!$W$31+'TUSD CVA'!$W$31)*(1 - CUSTOS!$M$38)</f>
        <v>0</v>
      </c>
      <c r="W31" s="13">
        <f>('TUSD BE'!$X$31+'TUSD BF'!$X$31+'TUSD CVA'!$X$31)*(1 - CUSTOS!$M$38)</f>
        <v>0</v>
      </c>
      <c r="X31" s="13">
        <f>('TUSD BE'!$Y$31+'TUSD BF'!$Y$31+'TUSD CVA'!$Y$31)*(1 - CUSTOS!$M$38)</f>
        <v>260.91284172484796</v>
      </c>
      <c r="Y31" s="13">
        <f>('TUSD BE'!$Z$31+'TUSD BF'!$Z$31+'TUSD CVA'!$Z$31)*(1 - CUSTOS!$M$38)</f>
        <v>0</v>
      </c>
      <c r="Z31" s="13">
        <f>('TUSD BE'!$AA$31+'TUSD BF'!$AA$31+'TUSD CVA'!$AA$31)*(1 - CUSTOS!$M$38)</f>
        <v>0</v>
      </c>
      <c r="AA31" s="13">
        <f>('TUSD BE'!$AC$31+'TUSD BF'!$AC$31+'TUSD CVA'!$AC$31)*(1 - CUSTOS!$M$38)</f>
        <v>300.43414456735155</v>
      </c>
      <c r="AB31" s="13">
        <f ca="1">('TUSD BE'!$AE$31+'TUSD BF'!$AE$31+'TUSD CVA'!$AE$31)*(1 - CUSTOS!$M$38)</f>
        <v>0</v>
      </c>
      <c r="AC31" s="13">
        <f ca="1">('TUSD BE'!$AF$31+'TUSD BF'!$AF$31+'TUSD CVA'!$AF$31)*(1 - CUSTOS!$M$38)</f>
        <v>0</v>
      </c>
      <c r="AD31" s="13">
        <f>('TUSD BE'!$AH$31+'TUSD BF'!$AH$31+'TUSD CVA'!$AH$31)*(1 - CUSTOS!$M$38)</f>
        <v>11.74301713076931</v>
      </c>
      <c r="AE31" s="13">
        <f>('TUSD BE'!$AI$31+'TUSD BF'!$AI$31+'TUSD CVA'!$AI$31)*(1 - CUSTOS!$M$38)</f>
        <v>0</v>
      </c>
      <c r="AF31" s="13">
        <f ca="1">('TUSD BE'!$AJ$31+'TUSD BF'!$AJ$31+'TUSD CVA'!$AJ$31)*(1 - CUSTOS!$M$38)</f>
        <v>0</v>
      </c>
      <c r="AG31" s="13">
        <f ca="1">('TUSD BE'!$AK$31+'TUSD BF'!$AK$31+'TUSD CVA'!$AK$31)*(1 - CUSTOS!$M$38)</f>
        <v>0</v>
      </c>
      <c r="AI31" s="13">
        <v>28.513327866200701</v>
      </c>
      <c r="AJ31" s="13">
        <v>1.3671903831179799</v>
      </c>
      <c r="AK31" s="13">
        <v>0</v>
      </c>
      <c r="AL31" s="13">
        <v>0</v>
      </c>
      <c r="AM31" s="13">
        <v>0</v>
      </c>
      <c r="AN31" s="13">
        <v>44.070312703345301</v>
      </c>
      <c r="AO31" s="13">
        <v>7.0531012819554499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208.47170691389999</v>
      </c>
      <c r="AV31" s="13">
        <v>0</v>
      </c>
      <c r="AW31" s="13">
        <v>0</v>
      </c>
      <c r="AX31" s="13">
        <v>219.31082035185699</v>
      </c>
      <c r="AY31" s="13">
        <v>0</v>
      </c>
      <c r="AZ31" s="13">
        <v>0</v>
      </c>
      <c r="BA31" s="13">
        <v>15.9741164701854</v>
      </c>
      <c r="BB31" s="13">
        <v>0</v>
      </c>
      <c r="BC31" s="13">
        <v>0</v>
      </c>
      <c r="BD31" s="13">
        <v>0</v>
      </c>
    </row>
    <row r="32" spans="1:56" ht="11.25" customHeight="1" x14ac:dyDescent="0.25">
      <c r="A32" s="103"/>
      <c r="B32" s="103"/>
      <c r="C32" s="103"/>
      <c r="D32" s="103"/>
      <c r="E32" s="103"/>
      <c r="F32" s="103"/>
      <c r="G32" s="24" t="s">
        <v>62</v>
      </c>
      <c r="H32" s="24" t="s">
        <v>60</v>
      </c>
      <c r="I32" s="24">
        <f>'MERCADO TUSD'!$U$29</f>
        <v>0</v>
      </c>
      <c r="J32" s="15"/>
      <c r="L32" s="13">
        <f>('TUSD BE'!$L$32+'TUSD BF'!$L$32+'TUSD CVA'!$L$32)*(1 - CUSTOS!$M$38)</f>
        <v>29.159080128657923</v>
      </c>
      <c r="M32" s="13">
        <f>('TUSD BE'!$M$32+'TUSD BF'!$M$32+'TUSD CVA'!$M$32)*(1 - CUSTOS!$M$38)</f>
        <v>2.1040497047593467</v>
      </c>
      <c r="N32" s="13">
        <f ca="1">('TUSD BE'!$N$32+'TUSD BF'!$N$32+'TUSD CVA'!$N$32)*(1 - CUSTOS!$M$38)</f>
        <v>0</v>
      </c>
      <c r="O32" s="13">
        <f>('TUSD BE'!$O$32+'TUSD BF'!$O$32+'TUSD CVA'!$O$32)*(1 - CUSTOS!$M$38)</f>
        <v>0</v>
      </c>
      <c r="P32" s="13">
        <f>('TUSD BE'!$P$32+'TUSD BF'!$P$32+'TUSD CVA'!$P$32)*(1 - CUSTOS!$M$38)</f>
        <v>0</v>
      </c>
      <c r="Q32" s="13">
        <f>('TUSD BE'!$Q$32+'TUSD BF'!$Q$32+'TUSD CVA'!$Q$32)*(1 - CUSTOS!$M$38)</f>
        <v>83.547737182055599</v>
      </c>
      <c r="R32" s="13">
        <f>('TUSD BE'!$R$32+'TUSD BF'!$R$32+'TUSD CVA'!$R$32)*(1 - CUSTOS!$M$38)</f>
        <v>13.216709098503301</v>
      </c>
      <c r="S32" s="13">
        <f>('TUSD BE'!$S$32+'TUSD BF'!$S$32+'TUSD CVA'!$S$32)*(1 - CUSTOS!$M$38)</f>
        <v>0</v>
      </c>
      <c r="T32" s="13">
        <f>('TUSD BE'!$U$32+'TUSD BF'!$U$32+'TUSD CVA'!$U$32)*(1 - CUSTOS!$M$38)</f>
        <v>0</v>
      </c>
      <c r="U32" s="13">
        <f>('TUSD BE'!$V$32+'TUSD BF'!$V$32+'TUSD CVA'!$V$32)*(1 - CUSTOS!$M$38)</f>
        <v>0</v>
      </c>
      <c r="V32" s="13">
        <f>('TUSD BE'!$W$32+'TUSD BF'!$W$32+'TUSD CVA'!$W$32)*(1 - CUSTOS!$M$38)</f>
        <v>0</v>
      </c>
      <c r="W32" s="13">
        <f>('TUSD BE'!$X$32+'TUSD BF'!$X$32+'TUSD CVA'!$X$32)*(1 - CUSTOS!$M$38)</f>
        <v>0</v>
      </c>
      <c r="X32" s="13">
        <f>('TUSD BE'!$Y$32+'TUSD BF'!$Y$32+'TUSD CVA'!$Y$32)*(1 - CUSTOS!$M$38)</f>
        <v>86.922408285501817</v>
      </c>
      <c r="Y32" s="13">
        <f>('TUSD BE'!$Z$32+'TUSD BF'!$Z$32+'TUSD CVA'!$Z$32)*(1 - CUSTOS!$M$38)</f>
        <v>0</v>
      </c>
      <c r="Z32" s="13">
        <f>('TUSD BE'!$AA$32+'TUSD BF'!$AA$32+'TUSD CVA'!$AA$32)*(1 - CUSTOS!$M$38)</f>
        <v>0</v>
      </c>
      <c r="AA32" s="13">
        <f>('TUSD BE'!$AC$32+'TUSD BF'!$AC$32+'TUSD CVA'!$AC$32)*(1 - CUSTOS!$M$38)</f>
        <v>100.14472756214336</v>
      </c>
      <c r="AB32" s="13">
        <f ca="1">('TUSD BE'!$AE$32+'TUSD BF'!$AE$32+'TUSD CVA'!$AE$32)*(1 - CUSTOS!$M$38)</f>
        <v>0</v>
      </c>
      <c r="AC32" s="13">
        <f ca="1">('TUSD BE'!$AF$32+'TUSD BF'!$AF$32+'TUSD CVA'!$AF$32)*(1 - CUSTOS!$M$38)</f>
        <v>0</v>
      </c>
      <c r="AD32" s="13">
        <f>('TUSD BE'!$AH$32+'TUSD BF'!$AH$32+'TUSD CVA'!$AH$32)*(1 - CUSTOS!$M$38)</f>
        <v>11.74301713076931</v>
      </c>
      <c r="AE32" s="13">
        <f>('TUSD BE'!$AI$32+'TUSD BF'!$AI$32+'TUSD CVA'!$AI$32)*(1 - CUSTOS!$M$38)</f>
        <v>0</v>
      </c>
      <c r="AF32" s="13">
        <f ca="1">('TUSD BE'!$AJ$32+'TUSD BF'!$AJ$32+'TUSD CVA'!$AJ$32)*(1 - CUSTOS!$M$38)</f>
        <v>0</v>
      </c>
      <c r="AG32" s="13">
        <f ca="1">('TUSD BE'!$AK$32+'TUSD BF'!$AK$32+'TUSD CVA'!$AK$32)*(1 - CUSTOS!$M$38)</f>
        <v>0</v>
      </c>
      <c r="AI32" s="13">
        <v>28.513327866200701</v>
      </c>
      <c r="AJ32" s="13">
        <v>1.3671903831179799</v>
      </c>
      <c r="AK32" s="13">
        <v>0</v>
      </c>
      <c r="AL32" s="13">
        <v>0</v>
      </c>
      <c r="AM32" s="13">
        <v>0</v>
      </c>
      <c r="AN32" s="13">
        <v>44.070312703345301</v>
      </c>
      <c r="AO32" s="13">
        <v>7.0531012819554499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69.451770801872499</v>
      </c>
      <c r="AV32" s="13">
        <v>0</v>
      </c>
      <c r="AW32" s="13">
        <v>0</v>
      </c>
      <c r="AX32" s="13">
        <v>73.103606783952202</v>
      </c>
      <c r="AY32" s="13">
        <v>0</v>
      </c>
      <c r="AZ32" s="13">
        <v>0</v>
      </c>
      <c r="BA32" s="13">
        <v>15.9741164701854</v>
      </c>
      <c r="BB32" s="13">
        <v>0</v>
      </c>
      <c r="BC32" s="13">
        <v>0</v>
      </c>
      <c r="BD32" s="13">
        <v>0</v>
      </c>
    </row>
    <row r="33" spans="1:56" ht="11.25" customHeight="1" x14ac:dyDescent="0.25">
      <c r="A33" s="103"/>
      <c r="B33" s="23" t="s">
        <v>23</v>
      </c>
      <c r="C33" s="23" t="s">
        <v>32</v>
      </c>
      <c r="D33" s="23" t="s">
        <v>25</v>
      </c>
      <c r="E33" s="23" t="s">
        <v>25</v>
      </c>
      <c r="F33" s="23" t="s">
        <v>25</v>
      </c>
      <c r="G33" s="24" t="s">
        <v>67</v>
      </c>
      <c r="H33" s="24" t="s">
        <v>60</v>
      </c>
      <c r="I33" s="24">
        <f>'MERCADO TUSD'!$U$30</f>
        <v>6180.567</v>
      </c>
      <c r="J33" s="15"/>
      <c r="L33" s="13">
        <f>('TUSD BE'!$L$33+'TUSD BF'!$L$33+'TUSD CVA'!$L$33)*(1 - CUSTOS!$M$38)</f>
        <v>29.159080128657923</v>
      </c>
      <c r="M33" s="13">
        <f>('TUSD BE'!$M$33+'TUSD BF'!$M$33+'TUSD CVA'!$M$33)*(1 - CUSTOS!$M$38)</f>
        <v>2.1040497047593467</v>
      </c>
      <c r="N33" s="13">
        <f ca="1">('TUSD BE'!$N$33+'TUSD BF'!$N$33+'TUSD CVA'!$N$33)*(1 - CUSTOS!$M$38)</f>
        <v>0</v>
      </c>
      <c r="O33" s="13">
        <f>('TUSD BE'!$O$33+'TUSD BF'!$O$33+'TUSD CVA'!$O$33)*(1 - CUSTOS!$M$38)</f>
        <v>0</v>
      </c>
      <c r="P33" s="13">
        <f>('TUSD BE'!$P$33+'TUSD BF'!$P$33+'TUSD CVA'!$P$33)*(1 - CUSTOS!$M$38)</f>
        <v>0</v>
      </c>
      <c r="Q33" s="13">
        <f>('TUSD BE'!$Q$33+'TUSD BF'!$Q$33+'TUSD CVA'!$Q$33)*(1 - CUSTOS!$M$38)</f>
        <v>83.547737182055599</v>
      </c>
      <c r="R33" s="13">
        <f>('TUSD BE'!$R$33+'TUSD BF'!$R$33+'TUSD CVA'!$R$33)*(1 - CUSTOS!$M$38)</f>
        <v>13.216709098503301</v>
      </c>
      <c r="S33" s="13">
        <f>('TUSD BE'!$S$33+'TUSD BF'!$S$33+'TUSD CVA'!$S$33)*(1 - CUSTOS!$M$38)</f>
        <v>0</v>
      </c>
      <c r="T33" s="13">
        <f>('TUSD BE'!$U$33+'TUSD BF'!$U$33+'TUSD CVA'!$U$33)*(1 - CUSTOS!$M$38)</f>
        <v>0</v>
      </c>
      <c r="U33" s="13">
        <f>('TUSD BE'!$V$33+'TUSD BF'!$V$33+'TUSD CVA'!$V$33)*(1 - CUSTOS!$M$38)</f>
        <v>0</v>
      </c>
      <c r="V33" s="13">
        <f>('TUSD BE'!$W$33+'TUSD BF'!$W$33+'TUSD CVA'!$W$33)*(1 - CUSTOS!$M$38)</f>
        <v>0</v>
      </c>
      <c r="W33" s="13">
        <f>('TUSD BE'!$X$33+'TUSD BF'!$X$33+'TUSD CVA'!$X$33)*(1 - CUSTOS!$M$38)</f>
        <v>0</v>
      </c>
      <c r="X33" s="13">
        <f>('TUSD BE'!$Y$33+'TUSD BF'!$Y$33+'TUSD CVA'!$Y$33)*(1 - CUSTOS!$M$38)</f>
        <v>147.41868888331609</v>
      </c>
      <c r="Y33" s="13">
        <f>('TUSD BE'!$Z$33+'TUSD BF'!$Z$33+'TUSD CVA'!$Z$33)*(1 - CUSTOS!$M$38)</f>
        <v>0</v>
      </c>
      <c r="Z33" s="13">
        <f>('TUSD BE'!$AA$33+'TUSD BF'!$AA$33+'TUSD CVA'!$AA$33)*(1 - CUSTOS!$M$38)</f>
        <v>0</v>
      </c>
      <c r="AA33" s="13">
        <f>('TUSD BE'!$AC$33+'TUSD BF'!$AC$33+'TUSD CVA'!$AC$33)*(1 - CUSTOS!$M$38)</f>
        <v>169.73686126516222</v>
      </c>
      <c r="AB33" s="13">
        <f ca="1">('TUSD BE'!$AE$33+'TUSD BF'!$AE$33+'TUSD CVA'!$AE$33)*(1 - CUSTOS!$M$38)</f>
        <v>0</v>
      </c>
      <c r="AC33" s="13">
        <f ca="1">('TUSD BE'!$AF$33+'TUSD BF'!$AF$33+'TUSD CVA'!$AF$33)*(1 - CUSTOS!$M$38)</f>
        <v>0</v>
      </c>
      <c r="AD33" s="13">
        <f>('TUSD BE'!$AH$33+'TUSD BF'!$AH$33+'TUSD CVA'!$AH$33)*(1 - CUSTOS!$M$38)</f>
        <v>11.74301713076931</v>
      </c>
      <c r="AE33" s="13">
        <f>('TUSD BE'!$AI$33+'TUSD BF'!$AI$33+'TUSD CVA'!$AI$33)*(1 - CUSTOS!$M$38)</f>
        <v>0</v>
      </c>
      <c r="AF33" s="13">
        <f ca="1">('TUSD BE'!$AJ$33+'TUSD BF'!$AJ$33+'TUSD CVA'!$AJ$33)*(1 - CUSTOS!$M$38)</f>
        <v>0</v>
      </c>
      <c r="AG33" s="13">
        <f ca="1">('TUSD BE'!$AK$33+'TUSD BF'!$AK$33+'TUSD CVA'!$AK$33)*(1 - CUSTOS!$M$38)</f>
        <v>0</v>
      </c>
      <c r="AI33" s="13">
        <v>28.513327866200701</v>
      </c>
      <c r="AJ33" s="13">
        <v>1.3671903831179799</v>
      </c>
      <c r="AK33" s="13">
        <v>0</v>
      </c>
      <c r="AL33" s="13">
        <v>0</v>
      </c>
      <c r="AM33" s="13">
        <v>0</v>
      </c>
      <c r="AN33" s="13">
        <v>44.070312703345301</v>
      </c>
      <c r="AO33" s="13">
        <v>7.0531012819554499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117.788846394917</v>
      </c>
      <c r="AV33" s="13">
        <v>0</v>
      </c>
      <c r="AW33" s="13">
        <v>0</v>
      </c>
      <c r="AX33" s="13">
        <v>123.904466045467</v>
      </c>
      <c r="AY33" s="13">
        <v>0</v>
      </c>
      <c r="AZ33" s="13">
        <v>0</v>
      </c>
      <c r="BA33" s="13">
        <v>15.9741164701854</v>
      </c>
      <c r="BB33" s="13">
        <v>0</v>
      </c>
      <c r="BC33" s="13">
        <v>0</v>
      </c>
      <c r="BD33" s="13">
        <v>0</v>
      </c>
    </row>
    <row r="34" spans="1:56" ht="11.25" customHeight="1" x14ac:dyDescent="0.25">
      <c r="A34" s="103"/>
      <c r="B34" s="103" t="s">
        <v>76</v>
      </c>
      <c r="C34" s="103" t="s">
        <v>32</v>
      </c>
      <c r="D34" s="103" t="s">
        <v>79</v>
      </c>
      <c r="E34" s="103" t="s">
        <v>25</v>
      </c>
      <c r="F34" s="103" t="s">
        <v>25</v>
      </c>
      <c r="G34" s="24" t="s">
        <v>61</v>
      </c>
      <c r="H34" s="24" t="s">
        <v>60</v>
      </c>
      <c r="I34" s="24">
        <f>'MERCADO TUSD'!$U$31</f>
        <v>0</v>
      </c>
      <c r="J34" s="15"/>
      <c r="L34" s="13">
        <f>('TUSD BE'!$L$34+'TUSD BF'!$L$34+'TUSD CVA'!$L$34)*(1 - CUSTOS!$M$39)</f>
        <v>29.159080128657923</v>
      </c>
      <c r="M34" s="13">
        <f>('TUSD BE'!$M$34+'TUSD BF'!$M$34+'TUSD CVA'!$M$34)*(1 - CUSTOS!$M$39)</f>
        <v>2.1040497047593467</v>
      </c>
      <c r="N34" s="13">
        <f ca="1">('TUSD BE'!$N$34+'TUSD BF'!$N$34+'TUSD CVA'!$N$34)*(1 - CUSTOS!$M$39)</f>
        <v>0</v>
      </c>
      <c r="O34" s="13">
        <f>('TUSD BE'!$O$34+'TUSD BF'!$O$34+'TUSD CVA'!$O$34)*(1 - CUSTOS!$M$39)</f>
        <v>0</v>
      </c>
      <c r="P34" s="13">
        <f>('TUSD BE'!$P$34+'TUSD BF'!$P$34+'TUSD CVA'!$P$34)*(1 - CUSTOS!$M$39)</f>
        <v>0</v>
      </c>
      <c r="Q34" s="13">
        <f>('TUSD BE'!$Q$34+'TUSD BF'!$Q$34+'TUSD CVA'!$Q$34)*(1 - CUSTOS!$M$39)</f>
        <v>83.547737182055599</v>
      </c>
      <c r="R34" s="13">
        <f>('TUSD BE'!$R$34+'TUSD BF'!$R$34+'TUSD CVA'!$R$34)*(1 - CUSTOS!$M$39)</f>
        <v>13.216709098503301</v>
      </c>
      <c r="S34" s="13">
        <f>('TUSD BE'!$S$34+'TUSD BF'!$S$34+'TUSD CVA'!$S$34)*(1 - CUSTOS!$M$39)</f>
        <v>0</v>
      </c>
      <c r="T34" s="13">
        <f>('TUSD BE'!$U$34+'TUSD BF'!$U$34+'TUSD CVA'!$U$34)*(1 - CUSTOS!$M$39)</f>
        <v>0</v>
      </c>
      <c r="U34" s="13">
        <f>('TUSD BE'!$V$34+'TUSD BF'!$V$34+'TUSD CVA'!$V$34)*(1 - CUSTOS!$M$39)</f>
        <v>0</v>
      </c>
      <c r="V34" s="13">
        <f>('TUSD BE'!$W$34+'TUSD BF'!$W$34+'TUSD CVA'!$W$34)*(1 - CUSTOS!$M$39)</f>
        <v>0</v>
      </c>
      <c r="W34" s="13">
        <f>('TUSD BE'!$X$34+'TUSD BF'!$X$34+'TUSD CVA'!$X$34)*(1 - CUSTOS!$M$39)</f>
        <v>0</v>
      </c>
      <c r="X34" s="13">
        <f>('TUSD BE'!$Y$34+'TUSD BF'!$Y$34+'TUSD CVA'!$Y$34)*(1 - CUSTOS!$M$39)</f>
        <v>434.90316761850119</v>
      </c>
      <c r="Y34" s="13">
        <f>('TUSD BE'!$Z$34+'TUSD BF'!$Z$34+'TUSD CVA'!$Z$34)*(1 - CUSTOS!$M$39)</f>
        <v>0</v>
      </c>
      <c r="Z34" s="13">
        <f>('TUSD BE'!$AA$34+'TUSD BF'!$AA$34+'TUSD CVA'!$AA$34)*(1 - CUSTOS!$M$39)</f>
        <v>0</v>
      </c>
      <c r="AA34" s="13">
        <f>('TUSD BE'!$AC$34+'TUSD BF'!$AC$34+'TUSD CVA'!$AC$34)*(1 - CUSTOS!$M$39)</f>
        <v>500.72375216795217</v>
      </c>
      <c r="AB34" s="13">
        <f ca="1">('TUSD BE'!$AE$34+'TUSD BF'!$AE$34+'TUSD CVA'!$AE$34)*(1 - CUSTOS!$M$39)</f>
        <v>0</v>
      </c>
      <c r="AC34" s="13">
        <f ca="1">('TUSD BE'!$AF$34+'TUSD BF'!$AF$34+'TUSD CVA'!$AF$34)*(1 - CUSTOS!$M$39)</f>
        <v>0</v>
      </c>
      <c r="AD34" s="13">
        <f>('TUSD BE'!$AH$34+'TUSD BF'!$AH$34+'TUSD CVA'!$AH$34)*(1 - CUSTOS!$M$39)</f>
        <v>11.74301713076931</v>
      </c>
      <c r="AE34" s="13">
        <f>('TUSD BE'!$AI$34+'TUSD BF'!$AI$34+'TUSD CVA'!$AI$34)*(1 - CUSTOS!$M$39)</f>
        <v>0</v>
      </c>
      <c r="AF34" s="13">
        <f ca="1">('TUSD BE'!$AJ$34+'TUSD BF'!$AJ$34+'TUSD CVA'!$AJ$34)*(1 - CUSTOS!$M$39)</f>
        <v>0</v>
      </c>
      <c r="AG34" s="13">
        <f ca="1">('TUSD BE'!$AK$34+'TUSD BF'!$AK$34+'TUSD CVA'!$AK$34)*(1 - CUSTOS!$M$39)</f>
        <v>0</v>
      </c>
      <c r="AI34" s="13">
        <v>28.513327866200701</v>
      </c>
      <c r="AJ34" s="13">
        <v>1.3671903831179799</v>
      </c>
      <c r="AK34" s="13">
        <v>0</v>
      </c>
      <c r="AL34" s="13">
        <v>0</v>
      </c>
      <c r="AM34" s="13">
        <v>0</v>
      </c>
      <c r="AN34" s="13">
        <v>44.070312703345301</v>
      </c>
      <c r="AO34" s="13">
        <v>7.0531012819554499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347.49157997364699</v>
      </c>
      <c r="AV34" s="13">
        <v>0</v>
      </c>
      <c r="AW34" s="13">
        <v>0</v>
      </c>
      <c r="AX34" s="13">
        <v>365.51816202373197</v>
      </c>
      <c r="AY34" s="13">
        <v>0</v>
      </c>
      <c r="AZ34" s="13">
        <v>0</v>
      </c>
      <c r="BA34" s="13">
        <v>15.9741164701854</v>
      </c>
      <c r="BB34" s="13">
        <v>0</v>
      </c>
      <c r="BC34" s="13">
        <v>0</v>
      </c>
      <c r="BD34" s="13">
        <v>0</v>
      </c>
    </row>
    <row r="35" spans="1:56" ht="11.25" customHeight="1" x14ac:dyDescent="0.25">
      <c r="A35" s="103"/>
      <c r="B35" s="103"/>
      <c r="C35" s="103"/>
      <c r="D35" s="103"/>
      <c r="E35" s="103"/>
      <c r="F35" s="103"/>
      <c r="G35" s="24" t="s">
        <v>74</v>
      </c>
      <c r="H35" s="24" t="s">
        <v>60</v>
      </c>
      <c r="I35" s="24">
        <f>'MERCADO TUSD'!$U$32</f>
        <v>0</v>
      </c>
      <c r="J35" s="15"/>
      <c r="L35" s="13">
        <f>('TUSD BE'!$L$35+'TUSD BF'!$L$35+'TUSD CVA'!$L$35)*(1 - CUSTOS!$M$39)</f>
        <v>29.159080128657923</v>
      </c>
      <c r="M35" s="13">
        <f>('TUSD BE'!$M$35+'TUSD BF'!$M$35+'TUSD CVA'!$M$35)*(1 - CUSTOS!$M$39)</f>
        <v>2.1040497047593467</v>
      </c>
      <c r="N35" s="13">
        <f ca="1">('TUSD BE'!$N$35+'TUSD BF'!$N$35+'TUSD CVA'!$N$35)*(1 - CUSTOS!$M$39)</f>
        <v>0</v>
      </c>
      <c r="O35" s="13">
        <f>('TUSD BE'!$O$35+'TUSD BF'!$O$35+'TUSD CVA'!$O$35)*(1 - CUSTOS!$M$39)</f>
        <v>0</v>
      </c>
      <c r="P35" s="13">
        <f>('TUSD BE'!$P$35+'TUSD BF'!$P$35+'TUSD CVA'!$P$35)*(1 - CUSTOS!$M$39)</f>
        <v>0</v>
      </c>
      <c r="Q35" s="13">
        <f>('TUSD BE'!$Q$35+'TUSD BF'!$Q$35+'TUSD CVA'!$Q$35)*(1 - CUSTOS!$M$39)</f>
        <v>83.547737182055599</v>
      </c>
      <c r="R35" s="13">
        <f>('TUSD BE'!$R$35+'TUSD BF'!$R$35+'TUSD CVA'!$R$35)*(1 - CUSTOS!$M$39)</f>
        <v>13.216709098503301</v>
      </c>
      <c r="S35" s="13">
        <f>('TUSD BE'!$S$35+'TUSD BF'!$S$35+'TUSD CVA'!$S$35)*(1 - CUSTOS!$M$39)</f>
        <v>0</v>
      </c>
      <c r="T35" s="13">
        <f>('TUSD BE'!$U$35+'TUSD BF'!$U$35+'TUSD CVA'!$U$35)*(1 - CUSTOS!$M$39)</f>
        <v>0</v>
      </c>
      <c r="U35" s="13">
        <f>('TUSD BE'!$V$35+'TUSD BF'!$V$35+'TUSD CVA'!$V$35)*(1 - CUSTOS!$M$39)</f>
        <v>0</v>
      </c>
      <c r="V35" s="13">
        <f>('TUSD BE'!$W$35+'TUSD BF'!$W$35+'TUSD CVA'!$W$35)*(1 - CUSTOS!$M$39)</f>
        <v>0</v>
      </c>
      <c r="W35" s="13">
        <f>('TUSD BE'!$X$35+'TUSD BF'!$X$35+'TUSD CVA'!$X$35)*(1 - CUSTOS!$M$39)</f>
        <v>0</v>
      </c>
      <c r="X35" s="13">
        <f>('TUSD BE'!$Y$35+'TUSD BF'!$Y$35+'TUSD CVA'!$Y$35)*(1 - CUSTOS!$M$39)</f>
        <v>260.91284172484796</v>
      </c>
      <c r="Y35" s="13">
        <f>('TUSD BE'!$Z$35+'TUSD BF'!$Z$35+'TUSD CVA'!$Z$35)*(1 - CUSTOS!$M$39)</f>
        <v>0</v>
      </c>
      <c r="Z35" s="13">
        <f>('TUSD BE'!$AA$35+'TUSD BF'!$AA$35+'TUSD CVA'!$AA$35)*(1 - CUSTOS!$M$39)</f>
        <v>0</v>
      </c>
      <c r="AA35" s="13">
        <f>('TUSD BE'!$AC$35+'TUSD BF'!$AC$35+'TUSD CVA'!$AC$35)*(1 - CUSTOS!$M$39)</f>
        <v>300.43414456735155</v>
      </c>
      <c r="AB35" s="13">
        <f ca="1">('TUSD BE'!$AE$35+'TUSD BF'!$AE$35+'TUSD CVA'!$AE$35)*(1 - CUSTOS!$M$39)</f>
        <v>0</v>
      </c>
      <c r="AC35" s="13">
        <f ca="1">('TUSD BE'!$AF$35+'TUSD BF'!$AF$35+'TUSD CVA'!$AF$35)*(1 - CUSTOS!$M$39)</f>
        <v>0</v>
      </c>
      <c r="AD35" s="13">
        <f>('TUSD BE'!$AH$35+'TUSD BF'!$AH$35+'TUSD CVA'!$AH$35)*(1 - CUSTOS!$M$39)</f>
        <v>11.74301713076931</v>
      </c>
      <c r="AE35" s="13">
        <f>('TUSD BE'!$AI$35+'TUSD BF'!$AI$35+'TUSD CVA'!$AI$35)*(1 - CUSTOS!$M$39)</f>
        <v>0</v>
      </c>
      <c r="AF35" s="13">
        <f ca="1">('TUSD BE'!$AJ$35+'TUSD BF'!$AJ$35+'TUSD CVA'!$AJ$35)*(1 - CUSTOS!$M$39)</f>
        <v>0</v>
      </c>
      <c r="AG35" s="13">
        <f ca="1">('TUSD BE'!$AK$35+'TUSD BF'!$AK$35+'TUSD CVA'!$AK$35)*(1 - CUSTOS!$M$39)</f>
        <v>0</v>
      </c>
      <c r="AI35" s="13">
        <v>28.513327866200701</v>
      </c>
      <c r="AJ35" s="13">
        <v>1.3671903831179799</v>
      </c>
      <c r="AK35" s="13">
        <v>0</v>
      </c>
      <c r="AL35" s="13">
        <v>0</v>
      </c>
      <c r="AM35" s="13">
        <v>0</v>
      </c>
      <c r="AN35" s="13">
        <v>44.070312703345301</v>
      </c>
      <c r="AO35" s="13">
        <v>7.0531012819554499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208.47170691389999</v>
      </c>
      <c r="AV35" s="13">
        <v>0</v>
      </c>
      <c r="AW35" s="13">
        <v>0</v>
      </c>
      <c r="AX35" s="13">
        <v>219.31082035185699</v>
      </c>
      <c r="AY35" s="13">
        <v>0</v>
      </c>
      <c r="AZ35" s="13">
        <v>0</v>
      </c>
      <c r="BA35" s="13">
        <v>15.9741164701854</v>
      </c>
      <c r="BB35" s="13">
        <v>0</v>
      </c>
      <c r="BC35" s="13">
        <v>0</v>
      </c>
      <c r="BD35" s="13">
        <v>0</v>
      </c>
    </row>
    <row r="36" spans="1:56" ht="11.25" customHeight="1" x14ac:dyDescent="0.25">
      <c r="A36" s="103"/>
      <c r="B36" s="103"/>
      <c r="C36" s="103"/>
      <c r="D36" s="103"/>
      <c r="E36" s="103"/>
      <c r="F36" s="103"/>
      <c r="G36" s="24" t="s">
        <v>62</v>
      </c>
      <c r="H36" s="24" t="s">
        <v>60</v>
      </c>
      <c r="I36" s="24">
        <f>'MERCADO TUSD'!$U$33</f>
        <v>0</v>
      </c>
      <c r="J36" s="15"/>
      <c r="L36" s="13">
        <f>('TUSD BE'!$L$36+'TUSD BF'!$L$36+'TUSD CVA'!$L$36)*(1 - CUSTOS!$M$39)</f>
        <v>29.159080128657923</v>
      </c>
      <c r="M36" s="13">
        <f>('TUSD BE'!$M$36+'TUSD BF'!$M$36+'TUSD CVA'!$M$36)*(1 - CUSTOS!$M$39)</f>
        <v>2.1040497047593467</v>
      </c>
      <c r="N36" s="13">
        <f ca="1">('TUSD BE'!$N$36+'TUSD BF'!$N$36+'TUSD CVA'!$N$36)*(1 - CUSTOS!$M$39)</f>
        <v>0</v>
      </c>
      <c r="O36" s="13">
        <f>('TUSD BE'!$O$36+'TUSD BF'!$O$36+'TUSD CVA'!$O$36)*(1 - CUSTOS!$M$39)</f>
        <v>0</v>
      </c>
      <c r="P36" s="13">
        <f>('TUSD BE'!$P$36+'TUSD BF'!$P$36+'TUSD CVA'!$P$36)*(1 - CUSTOS!$M$39)</f>
        <v>0</v>
      </c>
      <c r="Q36" s="13">
        <f>('TUSD BE'!$Q$36+'TUSD BF'!$Q$36+'TUSD CVA'!$Q$36)*(1 - CUSTOS!$M$39)</f>
        <v>83.547737182055599</v>
      </c>
      <c r="R36" s="13">
        <f>('TUSD BE'!$R$36+'TUSD BF'!$R$36+'TUSD CVA'!$R$36)*(1 - CUSTOS!$M$39)</f>
        <v>13.216709098503301</v>
      </c>
      <c r="S36" s="13">
        <f>('TUSD BE'!$S$36+'TUSD BF'!$S$36+'TUSD CVA'!$S$36)*(1 - CUSTOS!$M$39)</f>
        <v>0</v>
      </c>
      <c r="T36" s="13">
        <f>('TUSD BE'!$U$36+'TUSD BF'!$U$36+'TUSD CVA'!$U$36)*(1 - CUSTOS!$M$39)</f>
        <v>0</v>
      </c>
      <c r="U36" s="13">
        <f>('TUSD BE'!$V$36+'TUSD BF'!$V$36+'TUSD CVA'!$V$36)*(1 - CUSTOS!$M$39)</f>
        <v>0</v>
      </c>
      <c r="V36" s="13">
        <f>('TUSD BE'!$W$36+'TUSD BF'!$W$36+'TUSD CVA'!$W$36)*(1 - CUSTOS!$M$39)</f>
        <v>0</v>
      </c>
      <c r="W36" s="13">
        <f>('TUSD BE'!$X$36+'TUSD BF'!$X$36+'TUSD CVA'!$X$36)*(1 - CUSTOS!$M$39)</f>
        <v>0</v>
      </c>
      <c r="X36" s="13">
        <f>('TUSD BE'!$Y$36+'TUSD BF'!$Y$36+'TUSD CVA'!$Y$36)*(1 - CUSTOS!$M$39)</f>
        <v>86.922408285501817</v>
      </c>
      <c r="Y36" s="13">
        <f>('TUSD BE'!$Z$36+'TUSD BF'!$Z$36+'TUSD CVA'!$Z$36)*(1 - CUSTOS!$M$39)</f>
        <v>0</v>
      </c>
      <c r="Z36" s="13">
        <f>('TUSD BE'!$AA$36+'TUSD BF'!$AA$36+'TUSD CVA'!$AA$36)*(1 - CUSTOS!$M$39)</f>
        <v>0</v>
      </c>
      <c r="AA36" s="13">
        <f>('TUSD BE'!$AC$36+'TUSD BF'!$AC$36+'TUSD CVA'!$AC$36)*(1 - CUSTOS!$M$39)</f>
        <v>100.14472756214336</v>
      </c>
      <c r="AB36" s="13">
        <f ca="1">('TUSD BE'!$AE$36+'TUSD BF'!$AE$36+'TUSD CVA'!$AE$36)*(1 - CUSTOS!$M$39)</f>
        <v>0</v>
      </c>
      <c r="AC36" s="13">
        <f ca="1">('TUSD BE'!$AF$36+'TUSD BF'!$AF$36+'TUSD CVA'!$AF$36)*(1 - CUSTOS!$M$39)</f>
        <v>0</v>
      </c>
      <c r="AD36" s="13">
        <f>('TUSD BE'!$AH$36+'TUSD BF'!$AH$36+'TUSD CVA'!$AH$36)*(1 - CUSTOS!$M$39)</f>
        <v>11.74301713076931</v>
      </c>
      <c r="AE36" s="13">
        <f>('TUSD BE'!$AI$36+'TUSD BF'!$AI$36+'TUSD CVA'!$AI$36)*(1 - CUSTOS!$M$39)</f>
        <v>0</v>
      </c>
      <c r="AF36" s="13">
        <f ca="1">('TUSD BE'!$AJ$36+'TUSD BF'!$AJ$36+'TUSD CVA'!$AJ$36)*(1 - CUSTOS!$M$39)</f>
        <v>0</v>
      </c>
      <c r="AG36" s="13">
        <f ca="1">('TUSD BE'!$AK$36+'TUSD BF'!$AK$36+'TUSD CVA'!$AK$36)*(1 - CUSTOS!$M$39)</f>
        <v>0</v>
      </c>
      <c r="AI36" s="13">
        <v>28.513327866200701</v>
      </c>
      <c r="AJ36" s="13">
        <v>1.3671903831179799</v>
      </c>
      <c r="AK36" s="13">
        <v>0</v>
      </c>
      <c r="AL36" s="13">
        <v>0</v>
      </c>
      <c r="AM36" s="13">
        <v>0</v>
      </c>
      <c r="AN36" s="13">
        <v>44.070312703345301</v>
      </c>
      <c r="AO36" s="13">
        <v>7.0531012819554499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69.451770801872499</v>
      </c>
      <c r="AV36" s="13">
        <v>0</v>
      </c>
      <c r="AW36" s="13">
        <v>0</v>
      </c>
      <c r="AX36" s="13">
        <v>73.103606783952202</v>
      </c>
      <c r="AY36" s="13">
        <v>0</v>
      </c>
      <c r="AZ36" s="13">
        <v>0</v>
      </c>
      <c r="BA36" s="13">
        <v>15.9741164701854</v>
      </c>
      <c r="BB36" s="13">
        <v>0</v>
      </c>
      <c r="BC36" s="13">
        <v>0</v>
      </c>
      <c r="BD36" s="13">
        <v>0</v>
      </c>
    </row>
    <row r="37" spans="1:56" ht="11.25" customHeight="1" x14ac:dyDescent="0.25">
      <c r="A37" s="103"/>
      <c r="B37" s="23" t="s">
        <v>23</v>
      </c>
      <c r="C37" s="23" t="s">
        <v>32</v>
      </c>
      <c r="D37" s="23" t="s">
        <v>79</v>
      </c>
      <c r="E37" s="23" t="s">
        <v>25</v>
      </c>
      <c r="F37" s="23" t="s">
        <v>25</v>
      </c>
      <c r="G37" s="24" t="s">
        <v>67</v>
      </c>
      <c r="H37" s="24" t="s">
        <v>60</v>
      </c>
      <c r="I37" s="24">
        <f>'MERCADO TUSD'!$U$34</f>
        <v>0</v>
      </c>
      <c r="J37" s="15"/>
      <c r="L37" s="13">
        <f>('TUSD BE'!$L$37+'TUSD BF'!$L$37+'TUSD CVA'!$L$37)*(1 - CUSTOS!$M$39)</f>
        <v>29.159080128657923</v>
      </c>
      <c r="M37" s="13">
        <f>('TUSD BE'!$M$37+'TUSD BF'!$M$37+'TUSD CVA'!$M$37)*(1 - CUSTOS!$M$39)</f>
        <v>2.1040497047593467</v>
      </c>
      <c r="N37" s="13">
        <f ca="1">('TUSD BE'!$N$37+'TUSD BF'!$N$37+'TUSD CVA'!$N$37)*(1 - CUSTOS!$M$39)</f>
        <v>0</v>
      </c>
      <c r="O37" s="13">
        <f>('TUSD BE'!$O$37+'TUSD BF'!$O$37+'TUSD CVA'!$O$37)*(1 - CUSTOS!$M$39)</f>
        <v>0</v>
      </c>
      <c r="P37" s="13">
        <f>('TUSD BE'!$P$37+'TUSD BF'!$P$37+'TUSD CVA'!$P$37)*(1 - CUSTOS!$M$39)</f>
        <v>0</v>
      </c>
      <c r="Q37" s="13">
        <f>('TUSD BE'!$Q$37+'TUSD BF'!$Q$37+'TUSD CVA'!$Q$37)*(1 - CUSTOS!$M$39)</f>
        <v>83.547737182055599</v>
      </c>
      <c r="R37" s="13">
        <f>('TUSD BE'!$R$37+'TUSD BF'!$R$37+'TUSD CVA'!$R$37)*(1 - CUSTOS!$M$39)</f>
        <v>13.216709098503301</v>
      </c>
      <c r="S37" s="13">
        <f>('TUSD BE'!$S$37+'TUSD BF'!$S$37+'TUSD CVA'!$S$37)*(1 - CUSTOS!$M$39)</f>
        <v>0</v>
      </c>
      <c r="T37" s="13">
        <f>('TUSD BE'!$U$37+'TUSD BF'!$U$37+'TUSD CVA'!$U$37)*(1 - CUSTOS!$M$39)</f>
        <v>0</v>
      </c>
      <c r="U37" s="13">
        <f>('TUSD BE'!$V$37+'TUSD BF'!$V$37+'TUSD CVA'!$V$37)*(1 - CUSTOS!$M$39)</f>
        <v>0</v>
      </c>
      <c r="V37" s="13">
        <f>('TUSD BE'!$W$37+'TUSD BF'!$W$37+'TUSD CVA'!$W$37)*(1 - CUSTOS!$M$39)</f>
        <v>0</v>
      </c>
      <c r="W37" s="13">
        <f>('TUSD BE'!$X$37+'TUSD BF'!$X$37+'TUSD CVA'!$X$37)*(1 - CUSTOS!$M$39)</f>
        <v>0</v>
      </c>
      <c r="X37" s="13">
        <f>('TUSD BE'!$Y$37+'TUSD BF'!$Y$37+'TUSD CVA'!$Y$37)*(1 - CUSTOS!$M$39)</f>
        <v>147.41868888331609</v>
      </c>
      <c r="Y37" s="13">
        <f>('TUSD BE'!$Z$37+'TUSD BF'!$Z$37+'TUSD CVA'!$Z$37)*(1 - CUSTOS!$M$39)</f>
        <v>0</v>
      </c>
      <c r="Z37" s="13">
        <f>('TUSD BE'!$AA$37+'TUSD BF'!$AA$37+'TUSD CVA'!$AA$37)*(1 - CUSTOS!$M$39)</f>
        <v>0</v>
      </c>
      <c r="AA37" s="13">
        <f>('TUSD BE'!$AC$37+'TUSD BF'!$AC$37+'TUSD CVA'!$AC$37)*(1 - CUSTOS!$M$39)</f>
        <v>169.73686126516222</v>
      </c>
      <c r="AB37" s="13">
        <f ca="1">('TUSD BE'!$AE$37+'TUSD BF'!$AE$37+'TUSD CVA'!$AE$37)*(1 - CUSTOS!$M$39)</f>
        <v>0</v>
      </c>
      <c r="AC37" s="13">
        <f ca="1">('TUSD BE'!$AF$37+'TUSD BF'!$AF$37+'TUSD CVA'!$AF$37)*(1 - CUSTOS!$M$39)</f>
        <v>0</v>
      </c>
      <c r="AD37" s="13">
        <f>('TUSD BE'!$AH$37+'TUSD BF'!$AH$37+'TUSD CVA'!$AH$37)*(1 - CUSTOS!$M$39)</f>
        <v>11.74301713076931</v>
      </c>
      <c r="AE37" s="13">
        <f>('TUSD BE'!$AI$37+'TUSD BF'!$AI$37+'TUSD CVA'!$AI$37)*(1 - CUSTOS!$M$39)</f>
        <v>0</v>
      </c>
      <c r="AF37" s="13">
        <f ca="1">('TUSD BE'!$AJ$37+'TUSD BF'!$AJ$37+'TUSD CVA'!$AJ$37)*(1 - CUSTOS!$M$39)</f>
        <v>0</v>
      </c>
      <c r="AG37" s="13">
        <f ca="1">('TUSD BE'!$AK$37+'TUSD BF'!$AK$37+'TUSD CVA'!$AK$37)*(1 - CUSTOS!$M$39)</f>
        <v>0</v>
      </c>
      <c r="AI37" s="13">
        <v>28.513327866200701</v>
      </c>
      <c r="AJ37" s="13">
        <v>1.3671903831179799</v>
      </c>
      <c r="AK37" s="13">
        <v>0</v>
      </c>
      <c r="AL37" s="13">
        <v>0</v>
      </c>
      <c r="AM37" s="13">
        <v>0</v>
      </c>
      <c r="AN37" s="13">
        <v>44.070312703345301</v>
      </c>
      <c r="AO37" s="13">
        <v>7.0531012819554499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117.788846394917</v>
      </c>
      <c r="AV37" s="13">
        <v>0</v>
      </c>
      <c r="AW37" s="13">
        <v>0</v>
      </c>
      <c r="AX37" s="13">
        <v>123.904466045467</v>
      </c>
      <c r="AY37" s="13">
        <v>0</v>
      </c>
      <c r="AZ37" s="13">
        <v>0</v>
      </c>
      <c r="BA37" s="13">
        <v>15.9741164701854</v>
      </c>
      <c r="BB37" s="13">
        <v>0</v>
      </c>
      <c r="BC37" s="13">
        <v>0</v>
      </c>
      <c r="BD37" s="13">
        <v>0</v>
      </c>
    </row>
    <row r="38" spans="1:56" ht="11.25" customHeight="1" x14ac:dyDescent="0.25">
      <c r="A38" s="103"/>
      <c r="B38" s="103" t="s">
        <v>76</v>
      </c>
      <c r="C38" s="103" t="s">
        <v>32</v>
      </c>
      <c r="D38" s="103" t="s">
        <v>80</v>
      </c>
      <c r="E38" s="103" t="s">
        <v>25</v>
      </c>
      <c r="F38" s="103" t="s">
        <v>25</v>
      </c>
      <c r="G38" s="24" t="s">
        <v>61</v>
      </c>
      <c r="H38" s="24" t="s">
        <v>60</v>
      </c>
      <c r="I38" s="24">
        <f>'MERCADO TUSD'!$U$35</f>
        <v>0</v>
      </c>
      <c r="J38" s="15"/>
      <c r="L38" s="13">
        <f>('TUSD BE'!$L$38+'TUSD BF'!$L$38+'TUSD CVA'!$L$38)*(1 - CUSTOS!$M$40)</f>
        <v>28.538674168473715</v>
      </c>
      <c r="M38" s="13">
        <f>('TUSD BE'!$M$38+'TUSD BF'!$M$38+'TUSD CVA'!$M$38)*(1 - CUSTOS!$M$40)</f>
        <v>2.0592826897644674</v>
      </c>
      <c r="N38" s="13">
        <f ca="1">('TUSD BE'!$N$38+'TUSD BF'!$N$38+'TUSD CVA'!$N$38)*(1 - CUSTOS!$M$40)</f>
        <v>0</v>
      </c>
      <c r="O38" s="13">
        <f>('TUSD BE'!$O$38+'TUSD BF'!$O$38+'TUSD CVA'!$O$38)*(1 - CUSTOS!$M$40)</f>
        <v>0</v>
      </c>
      <c r="P38" s="13">
        <f>('TUSD BE'!$P$38+'TUSD BF'!$P$38+'TUSD CVA'!$P$38)*(1 - CUSTOS!$M$40)</f>
        <v>0</v>
      </c>
      <c r="Q38" s="13">
        <f>('TUSD BE'!$Q$38+'TUSD BF'!$Q$38+'TUSD CVA'!$Q$38)*(1 - CUSTOS!$M$40)</f>
        <v>81.770125752650173</v>
      </c>
      <c r="R38" s="13">
        <f>('TUSD BE'!$R$38+'TUSD BF'!$R$38+'TUSD CVA'!$R$38)*(1 - CUSTOS!$M$40)</f>
        <v>12.935502521939403</v>
      </c>
      <c r="S38" s="13">
        <f>('TUSD BE'!$S$38+'TUSD BF'!$S$38+'TUSD CVA'!$S$38)*(1 - CUSTOS!$M$40)</f>
        <v>0</v>
      </c>
      <c r="T38" s="13">
        <f>('TUSD BE'!$U$38+'TUSD BF'!$U$38+'TUSD CVA'!$U$38)*(1 - CUSTOS!$M$40)</f>
        <v>0</v>
      </c>
      <c r="U38" s="13">
        <f>('TUSD BE'!$V$38+'TUSD BF'!$V$38+'TUSD CVA'!$V$38)*(1 - CUSTOS!$M$40)</f>
        <v>0</v>
      </c>
      <c r="V38" s="13">
        <f>('TUSD BE'!$W$38+'TUSD BF'!$W$38+'TUSD CVA'!$W$38)*(1 - CUSTOS!$M$40)</f>
        <v>0</v>
      </c>
      <c r="W38" s="13">
        <f>('TUSD BE'!$X$38+'TUSD BF'!$X$38+'TUSD CVA'!$X$38)*(1 - CUSTOS!$M$40)</f>
        <v>0</v>
      </c>
      <c r="X38" s="13">
        <f>('TUSD BE'!$Y$38+'TUSD BF'!$Y$38+'TUSD CVA'!$Y$38)*(1 - CUSTOS!$M$40)</f>
        <v>425.64990873300121</v>
      </c>
      <c r="Y38" s="13">
        <f>('TUSD BE'!$Z$38+'TUSD BF'!$Z$38+'TUSD CVA'!$Z$38)*(1 - CUSTOS!$M$40)</f>
        <v>0</v>
      </c>
      <c r="Z38" s="13">
        <f>('TUSD BE'!$AA$38+'TUSD BF'!$AA$38+'TUSD CVA'!$AA$38)*(1 - CUSTOS!$M$40)</f>
        <v>0</v>
      </c>
      <c r="AA38" s="13">
        <f>('TUSD BE'!$AC$38+'TUSD BF'!$AC$38+'TUSD CVA'!$AC$38)*(1 - CUSTOS!$M$40)</f>
        <v>490.07005531331492</v>
      </c>
      <c r="AB38" s="13">
        <f ca="1">('TUSD BE'!$AE$38+'TUSD BF'!$AE$38+'TUSD CVA'!$AE$38)*(1 - CUSTOS!$M$40)</f>
        <v>0</v>
      </c>
      <c r="AC38" s="13">
        <f ca="1">('TUSD BE'!$AF$38+'TUSD BF'!$AF$38+'TUSD CVA'!$AF$38)*(1 - CUSTOS!$M$40)</f>
        <v>0</v>
      </c>
      <c r="AD38" s="13">
        <f>('TUSD BE'!$AH$38+'TUSD BF'!$AH$38+'TUSD CVA'!$AH$38)*(1 - CUSTOS!$M$40)</f>
        <v>11.493165702455071</v>
      </c>
      <c r="AE38" s="13">
        <f>('TUSD BE'!$AI$38+'TUSD BF'!$AI$38+'TUSD CVA'!$AI$38)*(1 - CUSTOS!$M$40)</f>
        <v>0</v>
      </c>
      <c r="AF38" s="13">
        <f ca="1">('TUSD BE'!$AJ$38+'TUSD BF'!$AJ$38+'TUSD CVA'!$AJ$38)*(1 - CUSTOS!$M$40)</f>
        <v>0</v>
      </c>
      <c r="AG38" s="13">
        <f ca="1">('TUSD BE'!$AK$38+'TUSD BF'!$AK$38+'TUSD CVA'!$AK$38)*(1 - CUSTOS!$M$40)</f>
        <v>0</v>
      </c>
      <c r="AI38" s="13">
        <v>27.217267508646099</v>
      </c>
      <c r="AJ38" s="13">
        <v>1.3050453657035299</v>
      </c>
      <c r="AK38" s="13">
        <v>0</v>
      </c>
      <c r="AL38" s="13">
        <v>0</v>
      </c>
      <c r="AM38" s="13">
        <v>0</v>
      </c>
      <c r="AN38" s="13">
        <v>42.067116671374997</v>
      </c>
      <c r="AO38" s="13">
        <v>6.7325057691392898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331.69650815666301</v>
      </c>
      <c r="AV38" s="13">
        <v>0</v>
      </c>
      <c r="AW38" s="13">
        <v>0</v>
      </c>
      <c r="AX38" s="13">
        <v>348.90370011356202</v>
      </c>
      <c r="AY38" s="13">
        <v>0</v>
      </c>
      <c r="AZ38" s="13">
        <v>0</v>
      </c>
      <c r="BA38" s="13">
        <v>15.2480202669951</v>
      </c>
      <c r="BB38" s="13">
        <v>0</v>
      </c>
      <c r="BC38" s="13">
        <v>0</v>
      </c>
      <c r="BD38" s="13">
        <v>0</v>
      </c>
    </row>
    <row r="39" spans="1:56" ht="11.25" customHeight="1" x14ac:dyDescent="0.25">
      <c r="A39" s="103"/>
      <c r="B39" s="103"/>
      <c r="C39" s="103"/>
      <c r="D39" s="103"/>
      <c r="E39" s="103"/>
      <c r="F39" s="103"/>
      <c r="G39" s="24" t="s">
        <v>74</v>
      </c>
      <c r="H39" s="24" t="s">
        <v>60</v>
      </c>
      <c r="I39" s="24">
        <f>'MERCADO TUSD'!$U$36</f>
        <v>0</v>
      </c>
      <c r="J39" s="15"/>
      <c r="L39" s="13">
        <f>('TUSD BE'!$L$39+'TUSD BF'!$L$39+'TUSD CVA'!$L$39)*(1 - CUSTOS!$M$40)</f>
        <v>28.538674168473715</v>
      </c>
      <c r="M39" s="13">
        <f>('TUSD BE'!$M$39+'TUSD BF'!$M$39+'TUSD CVA'!$M$39)*(1 - CUSTOS!$M$40)</f>
        <v>2.0592826897644674</v>
      </c>
      <c r="N39" s="13">
        <f ca="1">('TUSD BE'!$N$39+'TUSD BF'!$N$39+'TUSD CVA'!$N$39)*(1 - CUSTOS!$M$40)</f>
        <v>0</v>
      </c>
      <c r="O39" s="13">
        <f>('TUSD BE'!$O$39+'TUSD BF'!$O$39+'TUSD CVA'!$O$39)*(1 - CUSTOS!$M$40)</f>
        <v>0</v>
      </c>
      <c r="P39" s="13">
        <f>('TUSD BE'!$P$39+'TUSD BF'!$P$39+'TUSD CVA'!$P$39)*(1 - CUSTOS!$M$40)</f>
        <v>0</v>
      </c>
      <c r="Q39" s="13">
        <f>('TUSD BE'!$Q$39+'TUSD BF'!$Q$39+'TUSD CVA'!$Q$39)*(1 - CUSTOS!$M$40)</f>
        <v>81.770125752650173</v>
      </c>
      <c r="R39" s="13">
        <f>('TUSD BE'!$R$39+'TUSD BF'!$R$39+'TUSD CVA'!$R$39)*(1 - CUSTOS!$M$40)</f>
        <v>12.935502521939403</v>
      </c>
      <c r="S39" s="13">
        <f>('TUSD BE'!$S$39+'TUSD BF'!$S$39+'TUSD CVA'!$S$39)*(1 - CUSTOS!$M$40)</f>
        <v>0</v>
      </c>
      <c r="T39" s="13">
        <f>('TUSD BE'!$U$39+'TUSD BF'!$U$39+'TUSD CVA'!$U$39)*(1 - CUSTOS!$M$40)</f>
        <v>0</v>
      </c>
      <c r="U39" s="13">
        <f>('TUSD BE'!$V$39+'TUSD BF'!$V$39+'TUSD CVA'!$V$39)*(1 - CUSTOS!$M$40)</f>
        <v>0</v>
      </c>
      <c r="V39" s="13">
        <f>('TUSD BE'!$W$39+'TUSD BF'!$W$39+'TUSD CVA'!$W$39)*(1 - CUSTOS!$M$40)</f>
        <v>0</v>
      </c>
      <c r="W39" s="13">
        <f>('TUSD BE'!$X$39+'TUSD BF'!$X$39+'TUSD CVA'!$X$39)*(1 - CUSTOS!$M$40)</f>
        <v>0</v>
      </c>
      <c r="X39" s="13">
        <f>('TUSD BE'!$Y$39+'TUSD BF'!$Y$39+'TUSD CVA'!$Y$39)*(1 - CUSTOS!$M$40)</f>
        <v>255.36150466687252</v>
      </c>
      <c r="Y39" s="13">
        <f>('TUSD BE'!$Z$39+'TUSD BF'!$Z$39+'TUSD CVA'!$Z$39)*(1 - CUSTOS!$M$40)</f>
        <v>0</v>
      </c>
      <c r="Z39" s="13">
        <f>('TUSD BE'!$AA$39+'TUSD BF'!$AA$39+'TUSD CVA'!$AA$39)*(1 - CUSTOS!$M$40)</f>
        <v>0</v>
      </c>
      <c r="AA39" s="13">
        <f>('TUSD BE'!$AC$39+'TUSD BF'!$AC$39+'TUSD CVA'!$AC$39)*(1 - CUSTOS!$M$40)</f>
        <v>294.04192872549305</v>
      </c>
      <c r="AB39" s="13">
        <f ca="1">('TUSD BE'!$AE$39+'TUSD BF'!$AE$39+'TUSD CVA'!$AE$39)*(1 - CUSTOS!$M$40)</f>
        <v>0</v>
      </c>
      <c r="AC39" s="13">
        <f ca="1">('TUSD BE'!$AF$39+'TUSD BF'!$AF$39+'TUSD CVA'!$AF$39)*(1 - CUSTOS!$M$40)</f>
        <v>0</v>
      </c>
      <c r="AD39" s="13">
        <f>('TUSD BE'!$AH$39+'TUSD BF'!$AH$39+'TUSD CVA'!$AH$39)*(1 - CUSTOS!$M$40)</f>
        <v>11.493165702455071</v>
      </c>
      <c r="AE39" s="13">
        <f>('TUSD BE'!$AI$39+'TUSD BF'!$AI$39+'TUSD CVA'!$AI$39)*(1 - CUSTOS!$M$40)</f>
        <v>0</v>
      </c>
      <c r="AF39" s="13">
        <f ca="1">('TUSD BE'!$AJ$39+'TUSD BF'!$AJ$39+'TUSD CVA'!$AJ$39)*(1 - CUSTOS!$M$40)</f>
        <v>0</v>
      </c>
      <c r="AG39" s="13">
        <f ca="1">('TUSD BE'!$AK$39+'TUSD BF'!$AK$39+'TUSD CVA'!$AK$39)*(1 - CUSTOS!$M$40)</f>
        <v>0</v>
      </c>
      <c r="AI39" s="13">
        <v>27.217267508646099</v>
      </c>
      <c r="AJ39" s="13">
        <v>1.3050453657035299</v>
      </c>
      <c r="AK39" s="13">
        <v>0</v>
      </c>
      <c r="AL39" s="13">
        <v>0</v>
      </c>
      <c r="AM39" s="13">
        <v>0</v>
      </c>
      <c r="AN39" s="13">
        <v>42.067116671374997</v>
      </c>
      <c r="AO39" s="13">
        <v>6.7325057691392898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198.99572023599501</v>
      </c>
      <c r="AV39" s="13">
        <v>0</v>
      </c>
      <c r="AW39" s="13">
        <v>0</v>
      </c>
      <c r="AX39" s="13">
        <v>209.34214669950001</v>
      </c>
      <c r="AY39" s="13">
        <v>0</v>
      </c>
      <c r="AZ39" s="13">
        <v>0</v>
      </c>
      <c r="BA39" s="13">
        <v>15.2480202669951</v>
      </c>
      <c r="BB39" s="13">
        <v>0</v>
      </c>
      <c r="BC39" s="13">
        <v>0</v>
      </c>
      <c r="BD39" s="13">
        <v>0</v>
      </c>
    </row>
    <row r="40" spans="1:56" ht="11.25" customHeight="1" x14ac:dyDescent="0.25">
      <c r="A40" s="103"/>
      <c r="B40" s="103"/>
      <c r="C40" s="103"/>
      <c r="D40" s="103"/>
      <c r="E40" s="103"/>
      <c r="F40" s="103"/>
      <c r="G40" s="24" t="s">
        <v>62</v>
      </c>
      <c r="H40" s="24" t="s">
        <v>60</v>
      </c>
      <c r="I40" s="24">
        <f>'MERCADO TUSD'!$U$37</f>
        <v>0</v>
      </c>
      <c r="J40" s="15"/>
      <c r="L40" s="13">
        <f>('TUSD BE'!$L$40+'TUSD BF'!$L$40+'TUSD CVA'!$L$40)*(1 - CUSTOS!$M$40)</f>
        <v>28.538674168473715</v>
      </c>
      <c r="M40" s="13">
        <f>('TUSD BE'!$M$40+'TUSD BF'!$M$40+'TUSD CVA'!$M$40)*(1 - CUSTOS!$M$40)</f>
        <v>2.0592826897644674</v>
      </c>
      <c r="N40" s="13">
        <f ca="1">('TUSD BE'!$N$40+'TUSD BF'!$N$40+'TUSD CVA'!$N$40)*(1 - CUSTOS!$M$40)</f>
        <v>0</v>
      </c>
      <c r="O40" s="13">
        <f>('TUSD BE'!$O$40+'TUSD BF'!$O$40+'TUSD CVA'!$O$40)*(1 - CUSTOS!$M$40)</f>
        <v>0</v>
      </c>
      <c r="P40" s="13">
        <f>('TUSD BE'!$P$40+'TUSD BF'!$P$40+'TUSD CVA'!$P$40)*(1 - CUSTOS!$M$40)</f>
        <v>0</v>
      </c>
      <c r="Q40" s="13">
        <f>('TUSD BE'!$Q$40+'TUSD BF'!$Q$40+'TUSD CVA'!$Q$40)*(1 - CUSTOS!$M$40)</f>
        <v>81.770125752650173</v>
      </c>
      <c r="R40" s="13">
        <f>('TUSD BE'!$R$40+'TUSD BF'!$R$40+'TUSD CVA'!$R$40)*(1 - CUSTOS!$M$40)</f>
        <v>12.935502521939403</v>
      </c>
      <c r="S40" s="13">
        <f>('TUSD BE'!$S$40+'TUSD BF'!$S$40+'TUSD CVA'!$S$40)*(1 - CUSTOS!$M$40)</f>
        <v>0</v>
      </c>
      <c r="T40" s="13">
        <f>('TUSD BE'!$U$40+'TUSD BF'!$U$40+'TUSD CVA'!$U$40)*(1 - CUSTOS!$M$40)</f>
        <v>0</v>
      </c>
      <c r="U40" s="13">
        <f>('TUSD BE'!$V$40+'TUSD BF'!$V$40+'TUSD CVA'!$V$40)*(1 - CUSTOS!$M$40)</f>
        <v>0</v>
      </c>
      <c r="V40" s="13">
        <f>('TUSD BE'!$W$40+'TUSD BF'!$W$40+'TUSD CVA'!$W$40)*(1 - CUSTOS!$M$40)</f>
        <v>0</v>
      </c>
      <c r="W40" s="13">
        <f>('TUSD BE'!$X$40+'TUSD BF'!$X$40+'TUSD CVA'!$X$40)*(1 - CUSTOS!$M$40)</f>
        <v>0</v>
      </c>
      <c r="X40" s="13">
        <f>('TUSD BE'!$Y$40+'TUSD BF'!$Y$40+'TUSD CVA'!$Y$40)*(1 - CUSTOS!$M$40)</f>
        <v>85.072995343257105</v>
      </c>
      <c r="Y40" s="13">
        <f>('TUSD BE'!$Z$40+'TUSD BF'!$Z$40+'TUSD CVA'!$Z$40)*(1 - CUSTOS!$M$40)</f>
        <v>0</v>
      </c>
      <c r="Z40" s="13">
        <f>('TUSD BE'!$AA$40+'TUSD BF'!$AA$40+'TUSD CVA'!$AA$40)*(1 - CUSTOS!$M$40)</f>
        <v>0</v>
      </c>
      <c r="AA40" s="13">
        <f>('TUSD BE'!$AC$40+'TUSD BF'!$AC$40+'TUSD CVA'!$AC$40)*(1 - CUSTOS!$M$40)</f>
        <v>98.013988677842448</v>
      </c>
      <c r="AB40" s="13">
        <f ca="1">('TUSD BE'!$AE$40+'TUSD BF'!$AE$40+'TUSD CVA'!$AE$40)*(1 - CUSTOS!$M$40)</f>
        <v>0</v>
      </c>
      <c r="AC40" s="13">
        <f ca="1">('TUSD BE'!$AF$40+'TUSD BF'!$AF$40+'TUSD CVA'!$AF$40)*(1 - CUSTOS!$M$40)</f>
        <v>0</v>
      </c>
      <c r="AD40" s="13">
        <f>('TUSD BE'!$AH$40+'TUSD BF'!$AH$40+'TUSD CVA'!$AH$40)*(1 - CUSTOS!$M$40)</f>
        <v>11.493165702455071</v>
      </c>
      <c r="AE40" s="13">
        <f>('TUSD BE'!$AI$40+'TUSD BF'!$AI$40+'TUSD CVA'!$AI$40)*(1 - CUSTOS!$M$40)</f>
        <v>0</v>
      </c>
      <c r="AF40" s="13">
        <f ca="1">('TUSD BE'!$AJ$40+'TUSD BF'!$AJ$40+'TUSD CVA'!$AJ$40)*(1 - CUSTOS!$M$40)</f>
        <v>0</v>
      </c>
      <c r="AG40" s="13">
        <f ca="1">('TUSD BE'!$AK$40+'TUSD BF'!$AK$40+'TUSD CVA'!$AK$40)*(1 - CUSTOS!$M$40)</f>
        <v>0</v>
      </c>
      <c r="AI40" s="13">
        <v>27.217267508646099</v>
      </c>
      <c r="AJ40" s="13">
        <v>1.3050453657035299</v>
      </c>
      <c r="AK40" s="13">
        <v>0</v>
      </c>
      <c r="AL40" s="13">
        <v>0</v>
      </c>
      <c r="AM40" s="13">
        <v>0</v>
      </c>
      <c r="AN40" s="13">
        <v>42.067116671374997</v>
      </c>
      <c r="AO40" s="13">
        <v>6.7325057691392898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66.294872129060096</v>
      </c>
      <c r="AV40" s="13">
        <v>0</v>
      </c>
      <c r="AW40" s="13">
        <v>0</v>
      </c>
      <c r="AX40" s="13">
        <v>69.780715566499893</v>
      </c>
      <c r="AY40" s="13">
        <v>0</v>
      </c>
      <c r="AZ40" s="13">
        <v>0</v>
      </c>
      <c r="BA40" s="13">
        <v>15.2480202669951</v>
      </c>
      <c r="BB40" s="13">
        <v>0</v>
      </c>
      <c r="BC40" s="13">
        <v>0</v>
      </c>
      <c r="BD40" s="13">
        <v>0</v>
      </c>
    </row>
    <row r="41" spans="1:56" ht="11.25" customHeight="1" x14ac:dyDescent="0.25">
      <c r="A41" s="103"/>
      <c r="B41" s="23" t="s">
        <v>23</v>
      </c>
      <c r="C41" s="23" t="s">
        <v>32</v>
      </c>
      <c r="D41" s="23" t="s">
        <v>80</v>
      </c>
      <c r="E41" s="23" t="s">
        <v>25</v>
      </c>
      <c r="F41" s="23" t="s">
        <v>25</v>
      </c>
      <c r="G41" s="24" t="s">
        <v>67</v>
      </c>
      <c r="H41" s="24" t="s">
        <v>60</v>
      </c>
      <c r="I41" s="24">
        <f>'MERCADO TUSD'!$U$38</f>
        <v>0</v>
      </c>
      <c r="J41" s="15"/>
      <c r="L41" s="13">
        <f>('TUSD BE'!$L$41+'TUSD BF'!$L$41+'TUSD CVA'!$L$41)*(1 - CUSTOS!$M$40)</f>
        <v>28.538674168473715</v>
      </c>
      <c r="M41" s="13">
        <f>('TUSD BE'!$M$41+'TUSD BF'!$M$41+'TUSD CVA'!$M$41)*(1 - CUSTOS!$M$40)</f>
        <v>2.0592826897644674</v>
      </c>
      <c r="N41" s="13">
        <f ca="1">('TUSD BE'!$N$41+'TUSD BF'!$N$41+'TUSD CVA'!$N$41)*(1 - CUSTOS!$M$40)</f>
        <v>0</v>
      </c>
      <c r="O41" s="13">
        <f>('TUSD BE'!$O$41+'TUSD BF'!$O$41+'TUSD CVA'!$O$41)*(1 - CUSTOS!$M$40)</f>
        <v>0</v>
      </c>
      <c r="P41" s="13">
        <f>('TUSD BE'!$P$41+'TUSD BF'!$P$41+'TUSD CVA'!$P$41)*(1 - CUSTOS!$M$40)</f>
        <v>0</v>
      </c>
      <c r="Q41" s="13">
        <f>('TUSD BE'!$Q$41+'TUSD BF'!$Q$41+'TUSD CVA'!$Q$41)*(1 - CUSTOS!$M$40)</f>
        <v>81.770125752650173</v>
      </c>
      <c r="R41" s="13">
        <f>('TUSD BE'!$R$41+'TUSD BF'!$R$41+'TUSD CVA'!$R$41)*(1 - CUSTOS!$M$40)</f>
        <v>12.935502521939403</v>
      </c>
      <c r="S41" s="13">
        <f>('TUSD BE'!$S$41+'TUSD BF'!$S$41+'TUSD CVA'!$S$41)*(1 - CUSTOS!$M$40)</f>
        <v>0</v>
      </c>
      <c r="T41" s="13">
        <f>('TUSD BE'!$U$41+'TUSD BF'!$U$41+'TUSD CVA'!$U$41)*(1 - CUSTOS!$M$40)</f>
        <v>0</v>
      </c>
      <c r="U41" s="13">
        <f>('TUSD BE'!$V$41+'TUSD BF'!$V$41+'TUSD CVA'!$V$41)*(1 - CUSTOS!$M$40)</f>
        <v>0</v>
      </c>
      <c r="V41" s="13">
        <f>('TUSD BE'!$W$41+'TUSD BF'!$W$41+'TUSD CVA'!$W$41)*(1 - CUSTOS!$M$40)</f>
        <v>0</v>
      </c>
      <c r="W41" s="13">
        <f>('TUSD BE'!$X$41+'TUSD BF'!$X$41+'TUSD CVA'!$X$41)*(1 - CUSTOS!$M$40)</f>
        <v>0</v>
      </c>
      <c r="X41" s="13">
        <f>('TUSD BE'!$Y$41+'TUSD BF'!$Y$41+'TUSD CVA'!$Y$41)*(1 - CUSTOS!$M$40)</f>
        <v>144.2821210347349</v>
      </c>
      <c r="Y41" s="13">
        <f>('TUSD BE'!$Z$41+'TUSD BF'!$Z$41+'TUSD CVA'!$Z$41)*(1 - CUSTOS!$M$40)</f>
        <v>0</v>
      </c>
      <c r="Z41" s="13">
        <f>('TUSD BE'!$AA$41+'TUSD BF'!$AA$41+'TUSD CVA'!$AA$41)*(1 - CUSTOS!$M$40)</f>
        <v>0</v>
      </c>
      <c r="AA41" s="13">
        <f>('TUSD BE'!$AC$41+'TUSD BF'!$AC$41+'TUSD CVA'!$AC$41)*(1 - CUSTOS!$M$40)</f>
        <v>166.12543868505242</v>
      </c>
      <c r="AB41" s="13">
        <f ca="1">('TUSD BE'!$AE$41+'TUSD BF'!$AE$41+'TUSD CVA'!$AE$41)*(1 - CUSTOS!$M$40)</f>
        <v>0</v>
      </c>
      <c r="AC41" s="13">
        <f ca="1">('TUSD BE'!$AF$41+'TUSD BF'!$AF$41+'TUSD CVA'!$AF$41)*(1 - CUSTOS!$M$40)</f>
        <v>0</v>
      </c>
      <c r="AD41" s="13">
        <f>('TUSD BE'!$AH$41+'TUSD BF'!$AH$41+'TUSD CVA'!$AH$41)*(1 - CUSTOS!$M$40)</f>
        <v>11.493165702455071</v>
      </c>
      <c r="AE41" s="13">
        <f>('TUSD BE'!$AI$41+'TUSD BF'!$AI$41+'TUSD CVA'!$AI$41)*(1 - CUSTOS!$M$40)</f>
        <v>0</v>
      </c>
      <c r="AF41" s="13">
        <f ca="1">('TUSD BE'!$AJ$41+'TUSD BF'!$AJ$41+'TUSD CVA'!$AJ$41)*(1 - CUSTOS!$M$40)</f>
        <v>0</v>
      </c>
      <c r="AG41" s="13">
        <f ca="1">('TUSD BE'!$AK$41+'TUSD BF'!$AK$41+'TUSD CVA'!$AK$41)*(1 - CUSTOS!$M$40)</f>
        <v>0</v>
      </c>
      <c r="AI41" s="13">
        <v>27.217267508646099</v>
      </c>
      <c r="AJ41" s="13">
        <v>1.3050453657035299</v>
      </c>
      <c r="AK41" s="13">
        <v>0</v>
      </c>
      <c r="AL41" s="13">
        <v>0</v>
      </c>
      <c r="AM41" s="13">
        <v>0</v>
      </c>
      <c r="AN41" s="13">
        <v>42.067116671374997</v>
      </c>
      <c r="AO41" s="13">
        <v>6.7325057691392898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112.434807922421</v>
      </c>
      <c r="AV41" s="13">
        <v>0</v>
      </c>
      <c r="AW41" s="13">
        <v>0</v>
      </c>
      <c r="AX41" s="13">
        <v>118.272444861582</v>
      </c>
      <c r="AY41" s="13">
        <v>0</v>
      </c>
      <c r="AZ41" s="13">
        <v>0</v>
      </c>
      <c r="BA41" s="13">
        <v>15.2480202669951</v>
      </c>
      <c r="BB41" s="13">
        <v>0</v>
      </c>
      <c r="BC41" s="13">
        <v>0</v>
      </c>
      <c r="BD41" s="13">
        <v>0</v>
      </c>
    </row>
    <row r="42" spans="1:56" ht="11.25" customHeight="1" x14ac:dyDescent="0.25">
      <c r="A42" s="103"/>
      <c r="B42" s="103" t="s">
        <v>78</v>
      </c>
      <c r="C42" s="103" t="s">
        <v>32</v>
      </c>
      <c r="D42" s="23" t="s">
        <v>25</v>
      </c>
      <c r="E42" s="23" t="s">
        <v>25</v>
      </c>
      <c r="F42" s="23" t="s">
        <v>25</v>
      </c>
      <c r="G42" s="24" t="s">
        <v>67</v>
      </c>
      <c r="H42" s="24" t="s">
        <v>60</v>
      </c>
      <c r="I42" s="24">
        <f>'MERCADO TUSD'!$U$39</f>
        <v>0</v>
      </c>
      <c r="J42" s="15"/>
      <c r="L42" s="13">
        <f>('TUSD BE'!$L$42+'TUSD BF'!$L$42+'TUSD CVA'!$L$42)*(1 - CUSTOS!$M$38)</f>
        <v>29.159080128657923</v>
      </c>
      <c r="M42" s="13">
        <f>('TUSD BE'!$M$42+'TUSD BF'!$M$42+'TUSD CVA'!$M$42)*(1 - CUSTOS!$M$38)</f>
        <v>2.1040497047593467</v>
      </c>
      <c r="N42" s="13">
        <f ca="1">('TUSD BE'!$N$42+'TUSD BF'!$N$42+'TUSD CVA'!$N$42)*(1 - CUSTOS!$M$38)</f>
        <v>0</v>
      </c>
      <c r="O42" s="13">
        <f>('TUSD BE'!$O$42+'TUSD BF'!$O$42+'TUSD CVA'!$O$42)*(1 - CUSTOS!$M$38)</f>
        <v>0</v>
      </c>
      <c r="P42" s="13">
        <f>('TUSD BE'!$P$42+'TUSD BF'!$P$42+'TUSD CVA'!$P$42)*(1 - CUSTOS!$M$38)</f>
        <v>0</v>
      </c>
      <c r="Q42" s="13">
        <f>('TUSD BE'!$Q$42+'TUSD BF'!$Q$42+'TUSD CVA'!$Q$42)*(1 - CUSTOS!$M$38)</f>
        <v>83.547737182055599</v>
      </c>
      <c r="R42" s="13">
        <f>('TUSD BE'!$R$42+'TUSD BF'!$R$42+'TUSD CVA'!$R$42)*(1 - CUSTOS!$M$38)</f>
        <v>13.216709098503301</v>
      </c>
      <c r="S42" s="13">
        <f>('TUSD BE'!$S$42+'TUSD BF'!$S$42+'TUSD CVA'!$S$42)*(1 - CUSTOS!$M$38)</f>
        <v>0</v>
      </c>
      <c r="T42" s="13">
        <f>('TUSD BE'!$U$42+'TUSD BF'!$U$42+'TUSD CVA'!$U$42)*(1 - CUSTOS!$M$38)</f>
        <v>0</v>
      </c>
      <c r="U42" s="13">
        <f>('TUSD BE'!$V$42+'TUSD BF'!$V$42+'TUSD CVA'!$V$42)*(1 - CUSTOS!$M$38)</f>
        <v>0</v>
      </c>
      <c r="V42" s="13">
        <f>('TUSD BE'!$W$42+'TUSD BF'!$W$42+'TUSD CVA'!$W$42)*(1 - CUSTOS!$M$38)</f>
        <v>0</v>
      </c>
      <c r="W42" s="13">
        <f>('TUSD BE'!$X$42+'TUSD BF'!$X$42+'TUSD CVA'!$X$42)*(1 - CUSTOS!$M$38)</f>
        <v>0</v>
      </c>
      <c r="X42" s="13">
        <f>('TUSD BE'!$Y$42+'TUSD BF'!$Y$42+'TUSD CVA'!$Y$42)*(1 - CUSTOS!$M$38)</f>
        <v>147.41868888331609</v>
      </c>
      <c r="Y42" s="13">
        <f>('TUSD BE'!$Z$42+'TUSD BF'!$Z$42+'TUSD CVA'!$Z$42)*(1 - CUSTOS!$M$38)</f>
        <v>0</v>
      </c>
      <c r="Z42" s="13">
        <f>('TUSD BE'!$AA$42+'TUSD BF'!$AA$42+'TUSD CVA'!$AA$42)*(1 - CUSTOS!$M$38)</f>
        <v>0</v>
      </c>
      <c r="AA42" s="13">
        <f>('TUSD BE'!$AC$42+'TUSD BF'!$AC$42+'TUSD CVA'!$AC$42)*(1 - CUSTOS!$M$38)</f>
        <v>169.73686126516222</v>
      </c>
      <c r="AB42" s="13">
        <f ca="1">('TUSD BE'!$AE$42+'TUSD BF'!$AE$42+'TUSD CVA'!$AE$42)*(1 - CUSTOS!$M$38)</f>
        <v>0</v>
      </c>
      <c r="AC42" s="13">
        <f ca="1">('TUSD BE'!$AF$42+'TUSD BF'!$AF$42+'TUSD CVA'!$AF$42)*(1 - CUSTOS!$M$38)</f>
        <v>0</v>
      </c>
      <c r="AD42" s="13">
        <f>('TUSD BE'!$AH$42+'TUSD BF'!$AH$42+'TUSD CVA'!$AH$42)*(1 - CUSTOS!$M$38)</f>
        <v>11.74301713076931</v>
      </c>
      <c r="AE42" s="13">
        <f>('TUSD BE'!$AI$42+'TUSD BF'!$AI$42+'TUSD CVA'!$AI$42)*(1 - CUSTOS!$M$38)</f>
        <v>0</v>
      </c>
      <c r="AF42" s="13">
        <f ca="1">('TUSD BE'!$AJ$42+'TUSD BF'!$AJ$42+'TUSD CVA'!$AJ$42)*(1 - CUSTOS!$M$38)</f>
        <v>0</v>
      </c>
      <c r="AG42" s="13">
        <f ca="1">('TUSD BE'!$AK$42+'TUSD BF'!$AK$42+'TUSD CVA'!$AK$42)*(1 - CUSTOS!$M$38)</f>
        <v>0</v>
      </c>
      <c r="AI42" s="13">
        <v>28.513327866200701</v>
      </c>
      <c r="AJ42" s="13">
        <v>1.3671903831179799</v>
      </c>
      <c r="AK42" s="13">
        <v>0</v>
      </c>
      <c r="AL42" s="13">
        <v>0</v>
      </c>
      <c r="AM42" s="13">
        <v>0</v>
      </c>
      <c r="AN42" s="13">
        <v>44.070312703345301</v>
      </c>
      <c r="AO42" s="13">
        <v>7.0531012819554499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117.788846394917</v>
      </c>
      <c r="AV42" s="13">
        <v>0</v>
      </c>
      <c r="AW42" s="13">
        <v>0</v>
      </c>
      <c r="AX42" s="13">
        <v>123.904466045467</v>
      </c>
      <c r="AY42" s="13">
        <v>0</v>
      </c>
      <c r="AZ42" s="13">
        <v>0</v>
      </c>
      <c r="BA42" s="13">
        <v>15.9741164701854</v>
      </c>
      <c r="BB42" s="13">
        <v>0</v>
      </c>
      <c r="BC42" s="13">
        <v>0</v>
      </c>
      <c r="BD42" s="13">
        <v>0</v>
      </c>
    </row>
    <row r="43" spans="1:56" ht="11.25" customHeight="1" x14ac:dyDescent="0.25">
      <c r="A43" s="103"/>
      <c r="B43" s="103"/>
      <c r="C43" s="103"/>
      <c r="D43" s="23" t="s">
        <v>79</v>
      </c>
      <c r="E43" s="23" t="s">
        <v>25</v>
      </c>
      <c r="F43" s="23" t="s">
        <v>25</v>
      </c>
      <c r="G43" s="24" t="s">
        <v>67</v>
      </c>
      <c r="H43" s="24" t="s">
        <v>60</v>
      </c>
      <c r="I43" s="24">
        <f>'MERCADO TUSD'!$U$40</f>
        <v>0</v>
      </c>
      <c r="J43" s="15"/>
      <c r="L43" s="13">
        <f>('TUSD BE'!$L$43+'TUSD BF'!$L$43+'TUSD CVA'!$L$43)*(1 - CUSTOS!$M$39)</f>
        <v>29.159080128657923</v>
      </c>
      <c r="M43" s="13">
        <f>('TUSD BE'!$M$43+'TUSD BF'!$M$43+'TUSD CVA'!$M$43)*(1 - CUSTOS!$M$39)</f>
        <v>2.1040497047593467</v>
      </c>
      <c r="N43" s="13">
        <f ca="1">('TUSD BE'!$N$43+'TUSD BF'!$N$43+'TUSD CVA'!$N$43)*(1 - CUSTOS!$M$39)</f>
        <v>0</v>
      </c>
      <c r="O43" s="13">
        <f>('TUSD BE'!$O$43+'TUSD BF'!$O$43+'TUSD CVA'!$O$43)*(1 - CUSTOS!$M$39)</f>
        <v>0</v>
      </c>
      <c r="P43" s="13">
        <f>('TUSD BE'!$P$43+'TUSD BF'!$P$43+'TUSD CVA'!$P$43)*(1 - CUSTOS!$M$39)</f>
        <v>0</v>
      </c>
      <c r="Q43" s="13">
        <f>('TUSD BE'!$Q$43+'TUSD BF'!$Q$43+'TUSD CVA'!$Q$43)*(1 - CUSTOS!$M$39)</f>
        <v>83.547737182055599</v>
      </c>
      <c r="R43" s="13">
        <f>('TUSD BE'!$R$43+'TUSD BF'!$R$43+'TUSD CVA'!$R$43)*(1 - CUSTOS!$M$39)</f>
        <v>13.216709098503301</v>
      </c>
      <c r="S43" s="13">
        <f>('TUSD BE'!$S$43+'TUSD BF'!$S$43+'TUSD CVA'!$S$43)*(1 - CUSTOS!$M$39)</f>
        <v>0</v>
      </c>
      <c r="T43" s="13">
        <f>('TUSD BE'!$U$43+'TUSD BF'!$U$43+'TUSD CVA'!$U$43)*(1 - CUSTOS!$M$39)</f>
        <v>0</v>
      </c>
      <c r="U43" s="13">
        <f>('TUSD BE'!$V$43+'TUSD BF'!$V$43+'TUSD CVA'!$V$43)*(1 - CUSTOS!$M$39)</f>
        <v>0</v>
      </c>
      <c r="V43" s="13">
        <f>('TUSD BE'!$W$43+'TUSD BF'!$W$43+'TUSD CVA'!$W$43)*(1 - CUSTOS!$M$39)</f>
        <v>0</v>
      </c>
      <c r="W43" s="13">
        <f>('TUSD BE'!$X$43+'TUSD BF'!$X$43+'TUSD CVA'!$X$43)*(1 - CUSTOS!$M$39)</f>
        <v>0</v>
      </c>
      <c r="X43" s="13">
        <f>('TUSD BE'!$Y$43+'TUSD BF'!$Y$43+'TUSD CVA'!$Y$43)*(1 - CUSTOS!$M$39)</f>
        <v>147.41868888331609</v>
      </c>
      <c r="Y43" s="13">
        <f>('TUSD BE'!$Z$43+'TUSD BF'!$Z$43+'TUSD CVA'!$Z$43)*(1 - CUSTOS!$M$39)</f>
        <v>0</v>
      </c>
      <c r="Z43" s="13">
        <f>('TUSD BE'!$AA$43+'TUSD BF'!$AA$43+'TUSD CVA'!$AA$43)*(1 - CUSTOS!$M$39)</f>
        <v>0</v>
      </c>
      <c r="AA43" s="13">
        <f>('TUSD BE'!$AC$43+'TUSD BF'!$AC$43+'TUSD CVA'!$AC$43)*(1 - CUSTOS!$M$39)</f>
        <v>169.73686126516222</v>
      </c>
      <c r="AB43" s="13">
        <f ca="1">('TUSD BE'!$AE$43+'TUSD BF'!$AE$43+'TUSD CVA'!$AE$43)*(1 - CUSTOS!$M$39)</f>
        <v>0</v>
      </c>
      <c r="AC43" s="13">
        <f ca="1">('TUSD BE'!$AF$43+'TUSD BF'!$AF$43+'TUSD CVA'!$AF$43)*(1 - CUSTOS!$M$39)</f>
        <v>0</v>
      </c>
      <c r="AD43" s="13">
        <f>('TUSD BE'!$AH$43+'TUSD BF'!$AH$43+'TUSD CVA'!$AH$43)*(1 - CUSTOS!$M$39)</f>
        <v>11.74301713076931</v>
      </c>
      <c r="AE43" s="13">
        <f>('TUSD BE'!$AI$43+'TUSD BF'!$AI$43+'TUSD CVA'!$AI$43)*(1 - CUSTOS!$M$39)</f>
        <v>0</v>
      </c>
      <c r="AF43" s="13">
        <f ca="1">('TUSD BE'!$AJ$43+'TUSD BF'!$AJ$43+'TUSD CVA'!$AJ$43)*(1 - CUSTOS!$M$39)</f>
        <v>0</v>
      </c>
      <c r="AG43" s="13">
        <f ca="1">('TUSD BE'!$AK$43+'TUSD BF'!$AK$43+'TUSD CVA'!$AK$43)*(1 - CUSTOS!$M$39)</f>
        <v>0</v>
      </c>
      <c r="AI43" s="13">
        <v>28.513327866200701</v>
      </c>
      <c r="AJ43" s="13">
        <v>1.3671903831179799</v>
      </c>
      <c r="AK43" s="13">
        <v>0</v>
      </c>
      <c r="AL43" s="13">
        <v>0</v>
      </c>
      <c r="AM43" s="13">
        <v>0</v>
      </c>
      <c r="AN43" s="13">
        <v>44.070312703345301</v>
      </c>
      <c r="AO43" s="13">
        <v>7.0531012819554499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117.788846394917</v>
      </c>
      <c r="AV43" s="13">
        <v>0</v>
      </c>
      <c r="AW43" s="13">
        <v>0</v>
      </c>
      <c r="AX43" s="13">
        <v>123.904466045467</v>
      </c>
      <c r="AY43" s="13">
        <v>0</v>
      </c>
      <c r="AZ43" s="13">
        <v>0</v>
      </c>
      <c r="BA43" s="13">
        <v>15.9741164701854</v>
      </c>
      <c r="BB43" s="13">
        <v>0</v>
      </c>
      <c r="BC43" s="13">
        <v>0</v>
      </c>
      <c r="BD43" s="13">
        <v>0</v>
      </c>
    </row>
    <row r="44" spans="1:56" ht="11.25" customHeight="1" x14ac:dyDescent="0.25">
      <c r="A44" s="103"/>
      <c r="B44" s="103"/>
      <c r="C44" s="103"/>
      <c r="D44" s="23" t="s">
        <v>80</v>
      </c>
      <c r="E44" s="23" t="s">
        <v>25</v>
      </c>
      <c r="F44" s="23" t="s">
        <v>25</v>
      </c>
      <c r="G44" s="24" t="s">
        <v>67</v>
      </c>
      <c r="H44" s="24" t="s">
        <v>60</v>
      </c>
      <c r="I44" s="24">
        <f>'MERCADO TUSD'!$U$41</f>
        <v>0</v>
      </c>
      <c r="J44" s="15"/>
      <c r="L44" s="13">
        <f>('TUSD BE'!$L$44+'TUSD BF'!$L$44+'TUSD CVA'!$L$44)*(1 - CUSTOS!$M$40)</f>
        <v>28.538674168473715</v>
      </c>
      <c r="M44" s="13">
        <f>('TUSD BE'!$M$44+'TUSD BF'!$M$44+'TUSD CVA'!$M$44)*(1 - CUSTOS!$M$40)</f>
        <v>2.0592826897644674</v>
      </c>
      <c r="N44" s="13">
        <f ca="1">('TUSD BE'!$N$44+'TUSD BF'!$N$44+'TUSD CVA'!$N$44)*(1 - CUSTOS!$M$40)</f>
        <v>0</v>
      </c>
      <c r="O44" s="13">
        <f>('TUSD BE'!$O$44+'TUSD BF'!$O$44+'TUSD CVA'!$O$44)*(1 - CUSTOS!$M$40)</f>
        <v>0</v>
      </c>
      <c r="P44" s="13">
        <f>('TUSD BE'!$P$44+'TUSD BF'!$P$44+'TUSD CVA'!$P$44)*(1 - CUSTOS!$M$40)</f>
        <v>0</v>
      </c>
      <c r="Q44" s="13">
        <f>('TUSD BE'!$Q$44+'TUSD BF'!$Q$44+'TUSD CVA'!$Q$44)*(1 - CUSTOS!$M$40)</f>
        <v>81.770125752650173</v>
      </c>
      <c r="R44" s="13">
        <f>('TUSD BE'!$R$44+'TUSD BF'!$R$44+'TUSD CVA'!$R$44)*(1 - CUSTOS!$M$40)</f>
        <v>12.935502521939403</v>
      </c>
      <c r="S44" s="13">
        <f>('TUSD BE'!$S$44+'TUSD BF'!$S$44+'TUSD CVA'!$S$44)*(1 - CUSTOS!$M$40)</f>
        <v>0</v>
      </c>
      <c r="T44" s="13">
        <f>('TUSD BE'!$U$44+'TUSD BF'!$U$44+'TUSD CVA'!$U$44)*(1 - CUSTOS!$M$40)</f>
        <v>0</v>
      </c>
      <c r="U44" s="13">
        <f>('TUSD BE'!$V$44+'TUSD BF'!$V$44+'TUSD CVA'!$V$44)*(1 - CUSTOS!$M$40)</f>
        <v>0</v>
      </c>
      <c r="V44" s="13">
        <f>('TUSD BE'!$W$44+'TUSD BF'!$W$44+'TUSD CVA'!$W$44)*(1 - CUSTOS!$M$40)</f>
        <v>0</v>
      </c>
      <c r="W44" s="13">
        <f>('TUSD BE'!$X$44+'TUSD BF'!$X$44+'TUSD CVA'!$X$44)*(1 - CUSTOS!$M$40)</f>
        <v>0</v>
      </c>
      <c r="X44" s="13">
        <f>('TUSD BE'!$Y$44+'TUSD BF'!$Y$44+'TUSD CVA'!$Y$44)*(1 - CUSTOS!$M$40)</f>
        <v>144.2821210347349</v>
      </c>
      <c r="Y44" s="13">
        <f>('TUSD BE'!$Z$44+'TUSD BF'!$Z$44+'TUSD CVA'!$Z$44)*(1 - CUSTOS!$M$40)</f>
        <v>0</v>
      </c>
      <c r="Z44" s="13">
        <f>('TUSD BE'!$AA$44+'TUSD BF'!$AA$44+'TUSD CVA'!$AA$44)*(1 - CUSTOS!$M$40)</f>
        <v>0</v>
      </c>
      <c r="AA44" s="13">
        <f>('TUSD BE'!$AC$44+'TUSD BF'!$AC$44+'TUSD CVA'!$AC$44)*(1 - CUSTOS!$M$40)</f>
        <v>166.12543868505242</v>
      </c>
      <c r="AB44" s="13">
        <f ca="1">('TUSD BE'!$AE$44+'TUSD BF'!$AE$44+'TUSD CVA'!$AE$44)*(1 - CUSTOS!$M$40)</f>
        <v>0</v>
      </c>
      <c r="AC44" s="13">
        <f ca="1">('TUSD BE'!$AF$44+'TUSD BF'!$AF$44+'TUSD CVA'!$AF$44)*(1 - CUSTOS!$M$40)</f>
        <v>0</v>
      </c>
      <c r="AD44" s="13">
        <f>('TUSD BE'!$AH$44+'TUSD BF'!$AH$44+'TUSD CVA'!$AH$44)*(1 - CUSTOS!$M$40)</f>
        <v>11.493165702455071</v>
      </c>
      <c r="AE44" s="13">
        <f>('TUSD BE'!$AI$44+'TUSD BF'!$AI$44+'TUSD CVA'!$AI$44)*(1 - CUSTOS!$M$40)</f>
        <v>0</v>
      </c>
      <c r="AF44" s="13">
        <f ca="1">('TUSD BE'!$AJ$44+'TUSD BF'!$AJ$44+'TUSD CVA'!$AJ$44)*(1 - CUSTOS!$M$40)</f>
        <v>0</v>
      </c>
      <c r="AG44" s="13">
        <f ca="1">('TUSD BE'!$AK$44+'TUSD BF'!$AK$44+'TUSD CVA'!$AK$44)*(1 - CUSTOS!$M$40)</f>
        <v>0</v>
      </c>
      <c r="AI44" s="13">
        <v>27.217267508646099</v>
      </c>
      <c r="AJ44" s="13">
        <v>1.3050453657035299</v>
      </c>
      <c r="AK44" s="13">
        <v>0</v>
      </c>
      <c r="AL44" s="13">
        <v>0</v>
      </c>
      <c r="AM44" s="13">
        <v>0</v>
      </c>
      <c r="AN44" s="13">
        <v>42.067116671374997</v>
      </c>
      <c r="AO44" s="13">
        <v>6.7325057691392898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112.434807922421</v>
      </c>
      <c r="AV44" s="13">
        <v>0</v>
      </c>
      <c r="AW44" s="13">
        <v>0</v>
      </c>
      <c r="AX44" s="13">
        <v>118.272444861582</v>
      </c>
      <c r="AY44" s="13">
        <v>0</v>
      </c>
      <c r="AZ44" s="13">
        <v>0</v>
      </c>
      <c r="BA44" s="13">
        <v>15.2480202669951</v>
      </c>
      <c r="BB44" s="13">
        <v>0</v>
      </c>
      <c r="BC44" s="13">
        <v>0</v>
      </c>
      <c r="BD44" s="13">
        <v>0</v>
      </c>
    </row>
    <row r="45" spans="1:56" ht="11.25" customHeight="1" x14ac:dyDescent="0.25">
      <c r="A45" s="103" t="s">
        <v>28</v>
      </c>
      <c r="B45" s="103" t="s">
        <v>76</v>
      </c>
      <c r="C45" s="103" t="s">
        <v>25</v>
      </c>
      <c r="D45" s="103" t="s">
        <v>25</v>
      </c>
      <c r="E45" s="103" t="s">
        <v>25</v>
      </c>
      <c r="F45" s="103" t="s">
        <v>25</v>
      </c>
      <c r="G45" s="24" t="s">
        <v>61</v>
      </c>
      <c r="H45" s="24" t="s">
        <v>60</v>
      </c>
      <c r="I45" s="24">
        <f>'MERCADO TUSD'!$U$42</f>
        <v>0</v>
      </c>
      <c r="J45" s="15"/>
      <c r="L45" s="13">
        <f>('TUSD BE'!$L$45+'TUSD BF'!$L$45+'TUSD CVA'!$L$45)*1</f>
        <v>31.02029800921056</v>
      </c>
      <c r="M45" s="13">
        <f>('TUSD BE'!$M$45+'TUSD BF'!$M$45+'TUSD CVA'!$M$45)*1</f>
        <v>2.2383507497439861</v>
      </c>
      <c r="N45" s="13">
        <f ca="1">('TUSD BE'!$N$45+'TUSD BF'!$N$45+'TUSD CVA'!$N$45)*1</f>
        <v>0</v>
      </c>
      <c r="O45" s="13">
        <f>('TUSD BE'!$O$45+'TUSD BF'!$O$45+'TUSD CVA'!$O$45)*1</f>
        <v>0</v>
      </c>
      <c r="P45" s="13">
        <f>('TUSD BE'!$P$45+'TUSD BF'!$P$45+'TUSD CVA'!$P$45)*1</f>
        <v>0</v>
      </c>
      <c r="Q45" s="13">
        <f>('TUSD BE'!$Q$45+'TUSD BF'!$Q$45+'TUSD CVA'!$Q$45)*1</f>
        <v>88.880571470271917</v>
      </c>
      <c r="R45" s="13">
        <f>('TUSD BE'!$R$45+'TUSD BF'!$R$45+'TUSD CVA'!$R$45)*1</f>
        <v>14.060328828195003</v>
      </c>
      <c r="S45" s="13">
        <f>('TUSD BE'!$S$45+'TUSD BF'!$S$45+'TUSD CVA'!$S$45)*1</f>
        <v>0</v>
      </c>
      <c r="T45" s="13">
        <f>('TUSD BE'!$U$45+'TUSD BF'!$U$45+'TUSD CVA'!$U$45)*1</f>
        <v>0</v>
      </c>
      <c r="U45" s="13">
        <f>('TUSD BE'!$V$45+'TUSD BF'!$V$45+'TUSD CVA'!$V$45)*1</f>
        <v>0</v>
      </c>
      <c r="V45" s="13">
        <f>('TUSD BE'!$W$45+'TUSD BF'!$W$45+'TUSD CVA'!$W$45)*1</f>
        <v>0</v>
      </c>
      <c r="W45" s="13">
        <f>('TUSD BE'!$X$45+'TUSD BF'!$X$45+'TUSD CVA'!$X$45)*1</f>
        <v>0</v>
      </c>
      <c r="X45" s="13">
        <f>('TUSD BE'!$Y$45+'TUSD BF'!$Y$45+'TUSD CVA'!$Y$45)*1</f>
        <v>541.19338136623674</v>
      </c>
      <c r="Y45" s="13">
        <f>('TUSD BE'!$Z$45+'TUSD BF'!$Z$45+'TUSD CVA'!$Z$45)*1</f>
        <v>0</v>
      </c>
      <c r="Z45" s="13">
        <f>('TUSD BE'!$AA$45+'TUSD BF'!$AA$45+'TUSD CVA'!$AA$45)*1</f>
        <v>0</v>
      </c>
      <c r="AA45" s="13">
        <f>('TUSD BE'!$AC$45+'TUSD BF'!$AC$45+'TUSD CVA'!$AC$45)*1</f>
        <v>622.97020447355408</v>
      </c>
      <c r="AB45" s="13">
        <f ca="1">('TUSD BE'!$AE$45+'TUSD BF'!$AE$45+'TUSD CVA'!$AE$45)*1</f>
        <v>0</v>
      </c>
      <c r="AC45" s="13">
        <f ca="1">('TUSD BE'!$AF$45+'TUSD BF'!$AF$45+'TUSD CVA'!$AF$45)*1</f>
        <v>0</v>
      </c>
      <c r="AD45" s="13">
        <f>('TUSD BE'!$AH$45+'TUSD BF'!$AH$45+'TUSD CVA'!$AH$45)*1</f>
        <v>12.492571415712034</v>
      </c>
      <c r="AE45" s="13">
        <f>('TUSD BE'!$AI$45+'TUSD BF'!$AI$45+'TUSD CVA'!$AI$45)*1</f>
        <v>0</v>
      </c>
      <c r="AF45" s="13">
        <f ca="1">('TUSD BE'!$AJ$45+'TUSD BF'!$AJ$45+'TUSD CVA'!$AJ$45)*1</f>
        <v>0</v>
      </c>
      <c r="AG45" s="13">
        <f ca="1">('TUSD BE'!$AK$45+'TUSD BF'!$AK$45+'TUSD CVA'!$AK$45)*1</f>
        <v>0</v>
      </c>
      <c r="AI45" s="13">
        <v>32.401508938864403</v>
      </c>
      <c r="AJ45" s="13">
        <v>1.5536254353613499</v>
      </c>
      <c r="AK45" s="13">
        <v>0</v>
      </c>
      <c r="AL45" s="13">
        <v>0</v>
      </c>
      <c r="AM45" s="13">
        <v>0</v>
      </c>
      <c r="AN45" s="13">
        <v>50.079900799256002</v>
      </c>
      <c r="AO45" s="13">
        <v>8.0148878204039207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461.90144037065602</v>
      </c>
      <c r="AV45" s="13">
        <v>0</v>
      </c>
      <c r="AW45" s="13">
        <v>0</v>
      </c>
      <c r="AX45" s="13">
        <v>485.76166698010798</v>
      </c>
      <c r="AY45" s="13">
        <v>0</v>
      </c>
      <c r="AZ45" s="13">
        <v>0</v>
      </c>
      <c r="BA45" s="13">
        <v>18.1524050797561</v>
      </c>
      <c r="BB45" s="13">
        <v>0</v>
      </c>
      <c r="BC45" s="13">
        <v>0</v>
      </c>
      <c r="BD45" s="13">
        <v>0</v>
      </c>
    </row>
    <row r="46" spans="1:56" ht="11.25" customHeight="1" x14ac:dyDescent="0.25">
      <c r="A46" s="103"/>
      <c r="B46" s="103"/>
      <c r="C46" s="103"/>
      <c r="D46" s="103"/>
      <c r="E46" s="103"/>
      <c r="F46" s="103"/>
      <c r="G46" s="24" t="s">
        <v>74</v>
      </c>
      <c r="H46" s="24" t="s">
        <v>60</v>
      </c>
      <c r="I46" s="24">
        <f>'MERCADO TUSD'!$U$43</f>
        <v>0</v>
      </c>
      <c r="J46" s="15"/>
      <c r="L46" s="13">
        <f>('TUSD BE'!$L$46+'TUSD BF'!$L$46+'TUSD CVA'!$L$46)*1</f>
        <v>31.02029800921056</v>
      </c>
      <c r="M46" s="13">
        <f>('TUSD BE'!$M$46+'TUSD BF'!$M$46+'TUSD CVA'!$M$46)*1</f>
        <v>2.2383507497439861</v>
      </c>
      <c r="N46" s="13">
        <f ca="1">('TUSD BE'!$N$46+'TUSD BF'!$N$46+'TUSD CVA'!$N$46)*1</f>
        <v>0</v>
      </c>
      <c r="O46" s="13">
        <f>('TUSD BE'!$O$46+'TUSD BF'!$O$46+'TUSD CVA'!$O$46)*1</f>
        <v>0</v>
      </c>
      <c r="P46" s="13">
        <f>('TUSD BE'!$P$46+'TUSD BF'!$P$46+'TUSD CVA'!$P$46)*1</f>
        <v>0</v>
      </c>
      <c r="Q46" s="13">
        <f>('TUSD BE'!$Q$46+'TUSD BF'!$Q$46+'TUSD CVA'!$Q$46)*1</f>
        <v>88.880571470271917</v>
      </c>
      <c r="R46" s="13">
        <f>('TUSD BE'!$R$46+'TUSD BF'!$R$46+'TUSD CVA'!$R$46)*1</f>
        <v>14.060328828195003</v>
      </c>
      <c r="S46" s="13">
        <f>('TUSD BE'!$S$46+'TUSD BF'!$S$46+'TUSD CVA'!$S$46)*1</f>
        <v>0</v>
      </c>
      <c r="T46" s="13">
        <f>('TUSD BE'!$U$46+'TUSD BF'!$U$46+'TUSD CVA'!$U$46)*1</f>
        <v>0</v>
      </c>
      <c r="U46" s="13">
        <f>('TUSD BE'!$V$46+'TUSD BF'!$V$46+'TUSD CVA'!$V$46)*1</f>
        <v>0</v>
      </c>
      <c r="V46" s="13">
        <f>('TUSD BE'!$W$46+'TUSD BF'!$W$46+'TUSD CVA'!$W$46)*1</f>
        <v>0</v>
      </c>
      <c r="W46" s="13">
        <f>('TUSD BE'!$X$46+'TUSD BF'!$X$46+'TUSD CVA'!$X$46)*1</f>
        <v>0</v>
      </c>
      <c r="X46" s="13">
        <f>('TUSD BE'!$Y$46+'TUSD BF'!$Y$46+'TUSD CVA'!$Y$46)*1</f>
        <v>324.65401843079081</v>
      </c>
      <c r="Y46" s="13">
        <f>('TUSD BE'!$Z$46+'TUSD BF'!$Z$46+'TUSD CVA'!$Z$46)*1</f>
        <v>0</v>
      </c>
      <c r="Z46" s="13">
        <f>('TUSD BE'!$AA$46+'TUSD BF'!$AA$46+'TUSD CVA'!$AA$46)*1</f>
        <v>0</v>
      </c>
      <c r="AA46" s="13">
        <f>('TUSD BE'!$AC$46+'TUSD BF'!$AC$46+'TUSD CVA'!$AC$46)*1</f>
        <v>373.78209835280586</v>
      </c>
      <c r="AB46" s="13">
        <f ca="1">('TUSD BE'!$AE$46+'TUSD BF'!$AE$46+'TUSD CVA'!$AE$46)*1</f>
        <v>0</v>
      </c>
      <c r="AC46" s="13">
        <f ca="1">('TUSD BE'!$AF$46+'TUSD BF'!$AF$46+'TUSD CVA'!$AF$46)*1</f>
        <v>0</v>
      </c>
      <c r="AD46" s="13">
        <f>('TUSD BE'!$AH$46+'TUSD BF'!$AH$46+'TUSD CVA'!$AH$46)*1</f>
        <v>12.492571415712034</v>
      </c>
      <c r="AE46" s="13">
        <f>('TUSD BE'!$AI$46+'TUSD BF'!$AI$46+'TUSD CVA'!$AI$46)*1</f>
        <v>0</v>
      </c>
      <c r="AF46" s="13">
        <f ca="1">('TUSD BE'!$AJ$46+'TUSD BF'!$AJ$46+'TUSD CVA'!$AJ$46)*1</f>
        <v>0</v>
      </c>
      <c r="AG46" s="13">
        <f ca="1">('TUSD BE'!$AK$46+'TUSD BF'!$AK$46+'TUSD CVA'!$AK$46)*1</f>
        <v>0</v>
      </c>
      <c r="AI46" s="13">
        <v>32.401508938864403</v>
      </c>
      <c r="AJ46" s="13">
        <v>1.5536254353613499</v>
      </c>
      <c r="AK46" s="13">
        <v>0</v>
      </c>
      <c r="AL46" s="13">
        <v>0</v>
      </c>
      <c r="AM46" s="13">
        <v>0</v>
      </c>
      <c r="AN46" s="13">
        <v>50.079900799256002</v>
      </c>
      <c r="AO46" s="13">
        <v>8.0148878204039207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277.08797195778402</v>
      </c>
      <c r="AV46" s="13">
        <v>0</v>
      </c>
      <c r="AW46" s="13">
        <v>0</v>
      </c>
      <c r="AX46" s="13">
        <v>291.45697107352601</v>
      </c>
      <c r="AY46" s="13">
        <v>0</v>
      </c>
      <c r="AZ46" s="13">
        <v>0</v>
      </c>
      <c r="BA46" s="13">
        <v>18.1524050797561</v>
      </c>
      <c r="BB46" s="13">
        <v>0</v>
      </c>
      <c r="BC46" s="13">
        <v>0</v>
      </c>
      <c r="BD46" s="13">
        <v>0</v>
      </c>
    </row>
    <row r="47" spans="1:56" ht="11.25" customHeight="1" x14ac:dyDescent="0.25">
      <c r="A47" s="103"/>
      <c r="B47" s="103"/>
      <c r="C47" s="103"/>
      <c r="D47" s="103"/>
      <c r="E47" s="103"/>
      <c r="F47" s="103"/>
      <c r="G47" s="24" t="s">
        <v>62</v>
      </c>
      <c r="H47" s="24" t="s">
        <v>60</v>
      </c>
      <c r="I47" s="24">
        <f>'MERCADO TUSD'!$U$44</f>
        <v>0</v>
      </c>
      <c r="J47" s="15"/>
      <c r="L47" s="13">
        <f>('TUSD BE'!$L$47+'TUSD BF'!$L$47+'TUSD CVA'!$L$47)*1</f>
        <v>31.02029800921056</v>
      </c>
      <c r="M47" s="13">
        <f>('TUSD BE'!$M$47+'TUSD BF'!$M$47+'TUSD CVA'!$M$47)*1</f>
        <v>2.2383507497439861</v>
      </c>
      <c r="N47" s="13">
        <f ca="1">('TUSD BE'!$N$47+'TUSD BF'!$N$47+'TUSD CVA'!$N$47)*1</f>
        <v>0</v>
      </c>
      <c r="O47" s="13">
        <f>('TUSD BE'!$O$47+'TUSD BF'!$O$47+'TUSD CVA'!$O$47)*1</f>
        <v>0</v>
      </c>
      <c r="P47" s="13">
        <f>('TUSD BE'!$P$47+'TUSD BF'!$P$47+'TUSD CVA'!$P$47)*1</f>
        <v>0</v>
      </c>
      <c r="Q47" s="13">
        <f>('TUSD BE'!$Q$47+'TUSD BF'!$Q$47+'TUSD CVA'!$Q$47)*1</f>
        <v>88.880571470271917</v>
      </c>
      <c r="R47" s="13">
        <f>('TUSD BE'!$R$47+'TUSD BF'!$R$47+'TUSD CVA'!$R$47)*1</f>
        <v>14.060328828195003</v>
      </c>
      <c r="S47" s="13">
        <f>('TUSD BE'!$S$47+'TUSD BF'!$S$47+'TUSD CVA'!$S$47)*1</f>
        <v>0</v>
      </c>
      <c r="T47" s="13">
        <f>('TUSD BE'!$U$47+'TUSD BF'!$U$47+'TUSD CVA'!$U$47)*1</f>
        <v>0</v>
      </c>
      <c r="U47" s="13">
        <f>('TUSD BE'!$V$47+'TUSD BF'!$V$47+'TUSD CVA'!$V$47)*1</f>
        <v>0</v>
      </c>
      <c r="V47" s="13">
        <f>('TUSD BE'!$W$47+'TUSD BF'!$W$47+'TUSD CVA'!$W$47)*1</f>
        <v>0</v>
      </c>
      <c r="W47" s="13">
        <f>('TUSD BE'!$X$47+'TUSD BF'!$X$47+'TUSD CVA'!$X$47)*1</f>
        <v>0</v>
      </c>
      <c r="X47" s="13">
        <f>('TUSD BE'!$Y$47+'TUSD BF'!$Y$47+'TUSD CVA'!$Y$47)*1</f>
        <v>108.19222568668975</v>
      </c>
      <c r="Y47" s="13">
        <f>('TUSD BE'!$Z$47+'TUSD BF'!$Z$47+'TUSD CVA'!$Z$47)*1</f>
        <v>0</v>
      </c>
      <c r="Z47" s="13">
        <f>('TUSD BE'!$AA$47+'TUSD BF'!$AA$47+'TUSD CVA'!$AA$47)*1</f>
        <v>0</v>
      </c>
      <c r="AA47" s="13">
        <f>('TUSD BE'!$AC$47+'TUSD BF'!$AC$47+'TUSD CVA'!$AC$47)*1</f>
        <v>124.594154440902</v>
      </c>
      <c r="AB47" s="13">
        <f ca="1">('TUSD BE'!$AE$47+'TUSD BF'!$AE$47+'TUSD CVA'!$AE$47)*1</f>
        <v>0</v>
      </c>
      <c r="AC47" s="13">
        <f ca="1">('TUSD BE'!$AF$47+'TUSD BF'!$AF$47+'TUSD CVA'!$AF$47)*1</f>
        <v>0</v>
      </c>
      <c r="AD47" s="13">
        <f>('TUSD BE'!$AH$47+'TUSD BF'!$AH$47+'TUSD CVA'!$AH$47)*1</f>
        <v>12.492571415712034</v>
      </c>
      <c r="AE47" s="13">
        <f>('TUSD BE'!$AI$47+'TUSD BF'!$AI$47+'TUSD CVA'!$AI$47)*1</f>
        <v>0</v>
      </c>
      <c r="AF47" s="13">
        <f ca="1">('TUSD BE'!$AJ$47+'TUSD BF'!$AJ$47+'TUSD CVA'!$AJ$47)*1</f>
        <v>0</v>
      </c>
      <c r="AG47" s="13">
        <f ca="1">('TUSD BE'!$AK$47+'TUSD BF'!$AK$47+'TUSD CVA'!$AK$47)*1</f>
        <v>0</v>
      </c>
      <c r="AI47" s="13">
        <v>32.401508938864403</v>
      </c>
      <c r="AJ47" s="13">
        <v>1.5536254353613499</v>
      </c>
      <c r="AK47" s="13">
        <v>0</v>
      </c>
      <c r="AL47" s="13">
        <v>0</v>
      </c>
      <c r="AM47" s="13">
        <v>0</v>
      </c>
      <c r="AN47" s="13">
        <v>50.079900799256002</v>
      </c>
      <c r="AO47" s="13">
        <v>8.0148878204039207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92.340636788253093</v>
      </c>
      <c r="AV47" s="13">
        <v>0</v>
      </c>
      <c r="AW47" s="13">
        <v>0</v>
      </c>
      <c r="AX47" s="13">
        <v>97.152420739637805</v>
      </c>
      <c r="AY47" s="13">
        <v>0</v>
      </c>
      <c r="AZ47" s="13">
        <v>0</v>
      </c>
      <c r="BA47" s="13">
        <v>18.1524050797561</v>
      </c>
      <c r="BB47" s="13">
        <v>0</v>
      </c>
      <c r="BC47" s="13">
        <v>0</v>
      </c>
      <c r="BD47" s="13">
        <v>0</v>
      </c>
    </row>
    <row r="48" spans="1:56" ht="11.25" customHeight="1" x14ac:dyDescent="0.25">
      <c r="A48" s="10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67</v>
      </c>
      <c r="H48" s="24" t="s">
        <v>60</v>
      </c>
      <c r="I48" s="24">
        <f>'MERCADO TUSD'!$U$45</f>
        <v>3301.431</v>
      </c>
      <c r="J48" s="15"/>
      <c r="L48" s="13">
        <f>('TUSD BE'!$L$48+'TUSD BF'!$L$48+'TUSD CVA'!$L$48)*1</f>
        <v>31.02029800921056</v>
      </c>
      <c r="M48" s="13">
        <f>('TUSD BE'!$M$48+'TUSD BF'!$M$48+'TUSD CVA'!$M$48)*1</f>
        <v>2.2383507497439861</v>
      </c>
      <c r="N48" s="13">
        <f ca="1">('TUSD BE'!$N$48+'TUSD BF'!$N$48+'TUSD CVA'!$N$48)*1</f>
        <v>0</v>
      </c>
      <c r="O48" s="13">
        <f>('TUSD BE'!$O$48+'TUSD BF'!$O$48+'TUSD CVA'!$O$48)*1</f>
        <v>0</v>
      </c>
      <c r="P48" s="13">
        <f>('TUSD BE'!$P$48+'TUSD BF'!$P$48+'TUSD CVA'!$P$48)*1</f>
        <v>0</v>
      </c>
      <c r="Q48" s="13">
        <f>('TUSD BE'!$Q$48+'TUSD BF'!$Q$48+'TUSD CVA'!$Q$48)*1</f>
        <v>88.880571470271917</v>
      </c>
      <c r="R48" s="13">
        <f>('TUSD BE'!$R$48+'TUSD BF'!$R$48+'TUSD CVA'!$R$48)*1</f>
        <v>14.060328828195003</v>
      </c>
      <c r="S48" s="13">
        <f>('TUSD BE'!$S$48+'TUSD BF'!$S$48+'TUSD CVA'!$S$48)*1</f>
        <v>0</v>
      </c>
      <c r="T48" s="13">
        <f>('TUSD BE'!$U$48+'TUSD BF'!$U$48+'TUSD CVA'!$U$48)*1</f>
        <v>0</v>
      </c>
      <c r="U48" s="13">
        <f>('TUSD BE'!$V$48+'TUSD BF'!$V$48+'TUSD CVA'!$V$48)*1</f>
        <v>0</v>
      </c>
      <c r="V48" s="13">
        <f>('TUSD BE'!$W$48+'TUSD BF'!$W$48+'TUSD CVA'!$W$48)*1</f>
        <v>0</v>
      </c>
      <c r="W48" s="13">
        <f>('TUSD BE'!$X$48+'TUSD BF'!$X$48+'TUSD CVA'!$X$48)*1</f>
        <v>0</v>
      </c>
      <c r="X48" s="13">
        <f>('TUSD BE'!$Y$48+'TUSD BF'!$Y$48+'TUSD CVA'!$Y$48)*1</f>
        <v>156.82839242905968</v>
      </c>
      <c r="Y48" s="13">
        <f>('TUSD BE'!$Z$48+'TUSD BF'!$Z$48+'TUSD CVA'!$Z$48)*1</f>
        <v>0</v>
      </c>
      <c r="Z48" s="13">
        <f>('TUSD BE'!$AA$48+'TUSD BF'!$AA$48+'TUSD CVA'!$AA$48)*1</f>
        <v>0</v>
      </c>
      <c r="AA48" s="13">
        <f>('TUSD BE'!$AC$48+'TUSD BF'!$AC$48+'TUSD CVA'!$AC$48)*1</f>
        <v>180.57112900549174</v>
      </c>
      <c r="AB48" s="13">
        <f ca="1">('TUSD BE'!$AE$48+'TUSD BF'!$AE$48+'TUSD CVA'!$AE$48)*1</f>
        <v>0</v>
      </c>
      <c r="AC48" s="13">
        <f ca="1">('TUSD BE'!$AF$48+'TUSD BF'!$AF$48+'TUSD CVA'!$AF$48)*1</f>
        <v>0</v>
      </c>
      <c r="AD48" s="13">
        <f>('TUSD BE'!$AH$48+'TUSD BF'!$AH$48+'TUSD CVA'!$AH$48)*1</f>
        <v>12.492571415712034</v>
      </c>
      <c r="AE48" s="13">
        <f>('TUSD BE'!$AI$48+'TUSD BF'!$AI$48+'TUSD CVA'!$AI$48)*1</f>
        <v>0</v>
      </c>
      <c r="AF48" s="13">
        <f ca="1">('TUSD BE'!$AJ$48+'TUSD BF'!$AJ$48+'TUSD CVA'!$AJ$48)*1</f>
        <v>0</v>
      </c>
      <c r="AG48" s="13">
        <f ca="1">('TUSD BE'!$AK$48+'TUSD BF'!$AK$48+'TUSD CVA'!$AK$48)*1</f>
        <v>0</v>
      </c>
      <c r="AI48" s="13">
        <v>32.401508938864403</v>
      </c>
      <c r="AJ48" s="13">
        <v>1.5536254353613499</v>
      </c>
      <c r="AK48" s="13">
        <v>0</v>
      </c>
      <c r="AL48" s="13">
        <v>0</v>
      </c>
      <c r="AM48" s="13">
        <v>0</v>
      </c>
      <c r="AN48" s="13">
        <v>50.079900799256002</v>
      </c>
      <c r="AO48" s="13">
        <v>8.0148878204039207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133.85096181240601</v>
      </c>
      <c r="AV48" s="13">
        <v>0</v>
      </c>
      <c r="AW48" s="13">
        <v>0</v>
      </c>
      <c r="AX48" s="13">
        <v>140.80052959712199</v>
      </c>
      <c r="AY48" s="13">
        <v>0</v>
      </c>
      <c r="AZ48" s="13">
        <v>0</v>
      </c>
      <c r="BA48" s="13">
        <v>18.1524050797561</v>
      </c>
      <c r="BB48" s="13">
        <v>0</v>
      </c>
      <c r="BC48" s="13">
        <v>0</v>
      </c>
      <c r="BD48" s="13">
        <v>0</v>
      </c>
    </row>
    <row r="49" spans="1:56" ht="11.25" customHeight="1" x14ac:dyDescent="0.25">
      <c r="A49" s="103"/>
      <c r="B49" s="23" t="s">
        <v>78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67</v>
      </c>
      <c r="H49" s="24" t="s">
        <v>60</v>
      </c>
      <c r="I49" s="24">
        <f>'MERCADO TUSD'!$U$46</f>
        <v>0</v>
      </c>
      <c r="J49" s="15"/>
      <c r="L49" s="13">
        <f>('TUSD BE'!$L$49+'TUSD BF'!$L$49+'TUSD CVA'!$L$49)*1</f>
        <v>31.02029800921056</v>
      </c>
      <c r="M49" s="13">
        <f>('TUSD BE'!$M$49+'TUSD BF'!$M$49+'TUSD CVA'!$M$49)*1</f>
        <v>2.2383507497439861</v>
      </c>
      <c r="N49" s="13">
        <f ca="1">('TUSD BE'!$N$49+'TUSD BF'!$N$49+'TUSD CVA'!$N$49)*1</f>
        <v>0</v>
      </c>
      <c r="O49" s="13">
        <f>('TUSD BE'!$O$49+'TUSD BF'!$O$49+'TUSD CVA'!$O$49)*1</f>
        <v>0</v>
      </c>
      <c r="P49" s="13">
        <f>('TUSD BE'!$P$49+'TUSD BF'!$P$49+'TUSD CVA'!$P$49)*1</f>
        <v>0</v>
      </c>
      <c r="Q49" s="13">
        <f>('TUSD BE'!$Q$49+'TUSD BF'!$Q$49+'TUSD CVA'!$Q$49)*1</f>
        <v>88.880571470271917</v>
      </c>
      <c r="R49" s="13">
        <f>('TUSD BE'!$R$49+'TUSD BF'!$R$49+'TUSD CVA'!$R$49)*1</f>
        <v>14.060328828195003</v>
      </c>
      <c r="S49" s="13">
        <f>('TUSD BE'!$S$49+'TUSD BF'!$S$49+'TUSD CVA'!$S$49)*1</f>
        <v>0</v>
      </c>
      <c r="T49" s="13">
        <f>('TUSD BE'!$U$49+'TUSD BF'!$U$49+'TUSD CVA'!$U$49)*1</f>
        <v>0</v>
      </c>
      <c r="U49" s="13">
        <f>('TUSD BE'!$V$49+'TUSD BF'!$V$49+'TUSD CVA'!$V$49)*1</f>
        <v>0</v>
      </c>
      <c r="V49" s="13">
        <f>('TUSD BE'!$W$49+'TUSD BF'!$W$49+'TUSD CVA'!$W$49)*1</f>
        <v>0</v>
      </c>
      <c r="W49" s="13">
        <f>('TUSD BE'!$X$49+'TUSD BF'!$X$49+'TUSD CVA'!$X$49)*1</f>
        <v>0</v>
      </c>
      <c r="X49" s="13">
        <f>('TUSD BE'!$Y$49+'TUSD BF'!$Y$49+'TUSD CVA'!$Y$49)*1</f>
        <v>156.82839242905968</v>
      </c>
      <c r="Y49" s="13">
        <f>('TUSD BE'!$Z$49+'TUSD BF'!$Z$49+'TUSD CVA'!$Z$49)*1</f>
        <v>0</v>
      </c>
      <c r="Z49" s="13">
        <f>('TUSD BE'!$AA$49+'TUSD BF'!$AA$49+'TUSD CVA'!$AA$49)*1</f>
        <v>0</v>
      </c>
      <c r="AA49" s="13">
        <f>('TUSD BE'!$AC$49+'TUSD BF'!$AC$49+'TUSD CVA'!$AC$49)*1</f>
        <v>180.57112900549174</v>
      </c>
      <c r="AB49" s="13">
        <f ca="1">('TUSD BE'!$AE$49+'TUSD BF'!$AE$49+'TUSD CVA'!$AE$49)*1</f>
        <v>0</v>
      </c>
      <c r="AC49" s="13">
        <f ca="1">('TUSD BE'!$AF$49+'TUSD BF'!$AF$49+'TUSD CVA'!$AF$49)*1</f>
        <v>0</v>
      </c>
      <c r="AD49" s="13">
        <f>('TUSD BE'!$AH$49+'TUSD BF'!$AH$49+'TUSD CVA'!$AH$49)*1</f>
        <v>12.492571415712034</v>
      </c>
      <c r="AE49" s="13">
        <f>('TUSD BE'!$AI$49+'TUSD BF'!$AI$49+'TUSD CVA'!$AI$49)*1</f>
        <v>0</v>
      </c>
      <c r="AF49" s="13">
        <f ca="1">('TUSD BE'!$AJ$49+'TUSD BF'!$AJ$49+'TUSD CVA'!$AJ$49)*1</f>
        <v>0</v>
      </c>
      <c r="AG49" s="13">
        <f ca="1">('TUSD BE'!$AK$49+'TUSD BF'!$AK$49+'TUSD CVA'!$AK$49)*1</f>
        <v>0</v>
      </c>
      <c r="AI49" s="13">
        <v>32.401508938864403</v>
      </c>
      <c r="AJ49" s="13">
        <v>1.5536254353613499</v>
      </c>
      <c r="AK49" s="13">
        <v>0</v>
      </c>
      <c r="AL49" s="13">
        <v>0</v>
      </c>
      <c r="AM49" s="13">
        <v>0</v>
      </c>
      <c r="AN49" s="13">
        <v>50.079900799256002</v>
      </c>
      <c r="AO49" s="13">
        <v>8.0148878204039207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133.85096181240601</v>
      </c>
      <c r="AV49" s="13">
        <v>0</v>
      </c>
      <c r="AW49" s="13">
        <v>0</v>
      </c>
      <c r="AX49" s="13">
        <v>140.80052959712199</v>
      </c>
      <c r="AY49" s="13">
        <v>0</v>
      </c>
      <c r="AZ49" s="13">
        <v>0</v>
      </c>
      <c r="BA49" s="13">
        <v>18.1524050797561</v>
      </c>
      <c r="BB49" s="13">
        <v>0</v>
      </c>
      <c r="BC49" s="13">
        <v>0</v>
      </c>
      <c r="BD49" s="13">
        <v>0</v>
      </c>
    </row>
    <row r="50" spans="1:56" ht="11.25" customHeight="1" x14ac:dyDescent="0.25">
      <c r="A50" s="103" t="s">
        <v>34</v>
      </c>
      <c r="B50" s="103" t="s">
        <v>23</v>
      </c>
      <c r="C50" s="103" t="s">
        <v>35</v>
      </c>
      <c r="D50" s="23" t="s">
        <v>36</v>
      </c>
      <c r="E50" s="23" t="s">
        <v>25</v>
      </c>
      <c r="F50" s="23" t="s">
        <v>25</v>
      </c>
      <c r="G50" s="24" t="s">
        <v>67</v>
      </c>
      <c r="H50" s="24" t="s">
        <v>60</v>
      </c>
      <c r="I50" s="24">
        <f>'MERCADO TUSD'!$U$47</f>
        <v>274.32500000000005</v>
      </c>
      <c r="J50" s="15"/>
      <c r="L50" s="13">
        <f>('TUSD BE'!$L$50+'TUSD BF'!$L$50+'TUSD CVA'!$L$50)*1</f>
        <v>17.061163905065808</v>
      </c>
      <c r="M50" s="13">
        <f>('TUSD BE'!$M$50+'TUSD BF'!$M$50+'TUSD CVA'!$M$50)*1</f>
        <v>1.2310929123591925</v>
      </c>
      <c r="N50" s="13">
        <f ca="1">('TUSD BE'!$N$50+'TUSD BF'!$N$50+'TUSD CVA'!$N$50)*1</f>
        <v>0</v>
      </c>
      <c r="O50" s="13">
        <f>('TUSD BE'!$O$50+'TUSD BF'!$O$50+'TUSD CVA'!$O$50)*1</f>
        <v>0</v>
      </c>
      <c r="P50" s="13">
        <f>('TUSD BE'!$P$50+'TUSD BF'!$P$50+'TUSD CVA'!$P$50)*1</f>
        <v>0</v>
      </c>
      <c r="Q50" s="13">
        <f>('TUSD BE'!$Q$50+'TUSD BF'!$Q$50+'TUSD CVA'!$Q$50)*1</f>
        <v>48.884314308649557</v>
      </c>
      <c r="R50" s="13">
        <f>('TUSD BE'!$R$50+'TUSD BF'!$R$50+'TUSD CVA'!$R$50)*1</f>
        <v>7.7331808555072516</v>
      </c>
      <c r="S50" s="13">
        <f>('TUSD BE'!$S$50+'TUSD BF'!$S$50+'TUSD CVA'!$S$50)*1</f>
        <v>0</v>
      </c>
      <c r="T50" s="13">
        <f>('TUSD BE'!$U$50+'TUSD BF'!$U$50+'TUSD CVA'!$U$50)*1</f>
        <v>0</v>
      </c>
      <c r="U50" s="13">
        <f>('TUSD BE'!$V$50+'TUSD BF'!$V$50+'TUSD CVA'!$V$50)*1</f>
        <v>0</v>
      </c>
      <c r="V50" s="13">
        <f>('TUSD BE'!$W$50+'TUSD BF'!$W$50+'TUSD CVA'!$W$50)*1</f>
        <v>0</v>
      </c>
      <c r="W50" s="13">
        <f>('TUSD BE'!$X$50+'TUSD BF'!$X$50+'TUSD CVA'!$X$50)*1</f>
        <v>0</v>
      </c>
      <c r="X50" s="13">
        <f>('TUSD BE'!$Y$50+'TUSD BF'!$Y$50+'TUSD CVA'!$Y$50)*1</f>
        <v>86.255615835982837</v>
      </c>
      <c r="Y50" s="13">
        <f>('TUSD BE'!$Z$50+'TUSD BF'!$Z$50+'TUSD CVA'!$Z$50)*1</f>
        <v>0</v>
      </c>
      <c r="Z50" s="13">
        <f>('TUSD BE'!$AA$50+'TUSD BF'!$AA$50+'TUSD CVA'!$AA$50)*1</f>
        <v>0</v>
      </c>
      <c r="AA50" s="13">
        <f>('TUSD BE'!$AC$50+'TUSD BF'!$AC$50+'TUSD CVA'!$AC$50)*1</f>
        <v>99.314120953020449</v>
      </c>
      <c r="AB50" s="13">
        <f ca="1">('TUSD BE'!$AE$50+'TUSD BF'!$AE$50+'TUSD CVA'!$AE$50)*1</f>
        <v>0</v>
      </c>
      <c r="AC50" s="13">
        <f ca="1">('TUSD BE'!$AF$50+'TUSD BF'!$AF$50+'TUSD CVA'!$AF$50)*1</f>
        <v>0</v>
      </c>
      <c r="AD50" s="13">
        <f>('TUSD BE'!$AH$50+'TUSD BF'!$AH$50+'TUSD CVA'!$AH$50)*1</f>
        <v>6.8709142786416191</v>
      </c>
      <c r="AE50" s="13">
        <f>('TUSD BE'!$AI$50+'TUSD BF'!$AI$50+'TUSD CVA'!$AI$50)*1</f>
        <v>0</v>
      </c>
      <c r="AF50" s="13">
        <f ca="1">('TUSD BE'!$AJ$50+'TUSD BF'!$AJ$50+'TUSD CVA'!$AJ$50)*1</f>
        <v>0</v>
      </c>
      <c r="AG50" s="13">
        <f ca="1">('TUSD BE'!$AK$50+'TUSD BF'!$AK$50+'TUSD CVA'!$AK$50)*1</f>
        <v>0</v>
      </c>
      <c r="AI50" s="13">
        <v>17.820829916375398</v>
      </c>
      <c r="AJ50" s="13">
        <v>0.85449398944874</v>
      </c>
      <c r="AK50" s="13">
        <v>0</v>
      </c>
      <c r="AL50" s="13">
        <v>0</v>
      </c>
      <c r="AM50" s="13">
        <v>0</v>
      </c>
      <c r="AN50" s="13">
        <v>27.5439454395908</v>
      </c>
      <c r="AO50" s="13">
        <v>4.4081883012221601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73.618028996823199</v>
      </c>
      <c r="AV50" s="13">
        <v>0</v>
      </c>
      <c r="AW50" s="13">
        <v>0</v>
      </c>
      <c r="AX50" s="13">
        <v>77.440291278417106</v>
      </c>
      <c r="AY50" s="13">
        <v>0</v>
      </c>
      <c r="AZ50" s="13">
        <v>0</v>
      </c>
      <c r="BA50" s="13">
        <v>9.9838227938658708</v>
      </c>
      <c r="BB50" s="13">
        <v>0</v>
      </c>
      <c r="BC50" s="13">
        <v>0</v>
      </c>
      <c r="BD50" s="13">
        <v>0</v>
      </c>
    </row>
    <row r="51" spans="1:56" ht="11.25" customHeight="1" x14ac:dyDescent="0.25">
      <c r="A51" s="103"/>
      <c r="B51" s="103"/>
      <c r="C51" s="103"/>
      <c r="D51" s="24" t="s">
        <v>81</v>
      </c>
      <c r="E51" s="24" t="s">
        <v>25</v>
      </c>
      <c r="F51" s="24" t="s">
        <v>25</v>
      </c>
      <c r="G51" s="24" t="s">
        <v>67</v>
      </c>
      <c r="H51" s="24" t="s">
        <v>60</v>
      </c>
      <c r="I51" s="24">
        <f>'MERCADO TUSD'!$U$48</f>
        <v>0</v>
      </c>
      <c r="J51" s="15"/>
      <c r="L51" s="13">
        <f>('TUSD BE'!$L$51+'TUSD BF'!$L$51+'TUSD CVA'!$L$51)*1</f>
        <v>18.612178805526334</v>
      </c>
      <c r="M51" s="13">
        <f>('TUSD BE'!$M$51+'TUSD BF'!$M$51+'TUSD CVA'!$M$51)*1</f>
        <v>1.3430104498463915</v>
      </c>
      <c r="N51" s="13">
        <f ca="1">('TUSD BE'!$N$51+'TUSD BF'!$N$51+'TUSD CVA'!$N$51)*1</f>
        <v>0</v>
      </c>
      <c r="O51" s="13">
        <f>('TUSD BE'!$O$51+'TUSD BF'!$O$51+'TUSD CVA'!$O$51)*1</f>
        <v>0</v>
      </c>
      <c r="P51" s="13">
        <f>('TUSD BE'!$P$51+'TUSD BF'!$P$51+'TUSD CVA'!$P$51)*1</f>
        <v>0</v>
      </c>
      <c r="Q51" s="13">
        <f>('TUSD BE'!$Q$51+'TUSD BF'!$Q$51+'TUSD CVA'!$Q$51)*1</f>
        <v>53.328342882163149</v>
      </c>
      <c r="R51" s="13">
        <f>('TUSD BE'!$R$51+'TUSD BF'!$R$51+'TUSD CVA'!$R$51)*1</f>
        <v>8.4361972969170012</v>
      </c>
      <c r="S51" s="13">
        <f>('TUSD BE'!$S$51+'TUSD BF'!$S$51+'TUSD CVA'!$S$51)*1</f>
        <v>0</v>
      </c>
      <c r="T51" s="13">
        <f>('TUSD BE'!$U$51+'TUSD BF'!$U$51+'TUSD CVA'!$U$51)*1</f>
        <v>0</v>
      </c>
      <c r="U51" s="13">
        <f>('TUSD BE'!$V$51+'TUSD BF'!$V$51+'TUSD CVA'!$V$51)*1</f>
        <v>0</v>
      </c>
      <c r="V51" s="13">
        <f>('TUSD BE'!$W$51+'TUSD BF'!$W$51+'TUSD CVA'!$W$51)*1</f>
        <v>0</v>
      </c>
      <c r="W51" s="13">
        <f>('TUSD BE'!$X$51+'TUSD BF'!$X$51+'TUSD CVA'!$X$51)*1</f>
        <v>0</v>
      </c>
      <c r="X51" s="13">
        <f>('TUSD BE'!$Y$51+'TUSD BF'!$Y$51+'TUSD CVA'!$Y$51)*1</f>
        <v>94.097035457435808</v>
      </c>
      <c r="Y51" s="13">
        <f>('TUSD BE'!$Z$51+'TUSD BF'!$Z$51+'TUSD CVA'!$Z$51)*1</f>
        <v>0</v>
      </c>
      <c r="Z51" s="13">
        <f>('TUSD BE'!$AA$51+'TUSD BF'!$AA$51+'TUSD CVA'!$AA$51)*1</f>
        <v>0</v>
      </c>
      <c r="AA51" s="13">
        <f>('TUSD BE'!$AC$51+'TUSD BF'!$AC$51+'TUSD CVA'!$AC$51)*1</f>
        <v>108.34267740329506</v>
      </c>
      <c r="AB51" s="13">
        <f ca="1">('TUSD BE'!$AE$51+'TUSD BF'!$AE$51+'TUSD CVA'!$AE$51)*1</f>
        <v>0</v>
      </c>
      <c r="AC51" s="13">
        <f ca="1">('TUSD BE'!$AF$51+'TUSD BF'!$AF$51+'TUSD CVA'!$AF$51)*1</f>
        <v>0</v>
      </c>
      <c r="AD51" s="13">
        <f>('TUSD BE'!$AH$51+'TUSD BF'!$AH$51+'TUSD CVA'!$AH$51)*1</f>
        <v>7.4955428494272196</v>
      </c>
      <c r="AE51" s="13">
        <f>('TUSD BE'!$AI$51+'TUSD BF'!$AI$51+'TUSD CVA'!$AI$51)*1</f>
        <v>0</v>
      </c>
      <c r="AF51" s="13">
        <f ca="1">('TUSD BE'!$AJ$51+'TUSD BF'!$AJ$51+'TUSD CVA'!$AJ$51)*1</f>
        <v>0</v>
      </c>
      <c r="AG51" s="13">
        <f ca="1">('TUSD BE'!$AK$51+'TUSD BF'!$AK$51+'TUSD CVA'!$AK$51)*1</f>
        <v>0</v>
      </c>
      <c r="AI51" s="13">
        <v>19.440905363318699</v>
      </c>
      <c r="AJ51" s="13">
        <v>0.93217526121680705</v>
      </c>
      <c r="AK51" s="13">
        <v>0</v>
      </c>
      <c r="AL51" s="13">
        <v>0</v>
      </c>
      <c r="AM51" s="13">
        <v>0</v>
      </c>
      <c r="AN51" s="13">
        <v>30.047940479553599</v>
      </c>
      <c r="AO51" s="13">
        <v>4.8089326922423501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80.310577087443505</v>
      </c>
      <c r="AV51" s="13">
        <v>0</v>
      </c>
      <c r="AW51" s="13">
        <v>0</v>
      </c>
      <c r="AX51" s="13">
        <v>84.480317758273202</v>
      </c>
      <c r="AY51" s="13">
        <v>0</v>
      </c>
      <c r="AZ51" s="13">
        <v>0</v>
      </c>
      <c r="BA51" s="13">
        <v>10.8914430478537</v>
      </c>
      <c r="BB51" s="13">
        <v>0</v>
      </c>
      <c r="BC51" s="13">
        <v>0</v>
      </c>
      <c r="BD51" s="13">
        <v>0</v>
      </c>
    </row>
    <row r="53" spans="1:56" ht="11.25" customHeight="1" x14ac:dyDescent="0.25">
      <c r="L53" s="105" t="s">
        <v>569</v>
      </c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I53" s="105" t="s">
        <v>570</v>
      </c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</row>
    <row r="54" spans="1:56" ht="11.25" customHeight="1" x14ac:dyDescent="0.25">
      <c r="L54" s="105" t="s">
        <v>263</v>
      </c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I54" s="105" t="s">
        <v>263</v>
      </c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</row>
    <row r="55" spans="1:56" ht="11.25" customHeight="1" x14ac:dyDescent="0.25">
      <c r="L55" s="105" t="s">
        <v>264</v>
      </c>
      <c r="M55" s="105"/>
      <c r="N55" s="105"/>
      <c r="O55" s="105"/>
      <c r="P55" s="105"/>
      <c r="Q55" s="105"/>
      <c r="R55" s="105"/>
      <c r="S55" s="105"/>
      <c r="T55" s="105" t="s">
        <v>273</v>
      </c>
      <c r="U55" s="105"/>
      <c r="V55" s="105"/>
      <c r="W55" s="105"/>
      <c r="X55" s="105"/>
      <c r="Y55" s="105"/>
      <c r="Z55" s="105"/>
      <c r="AA55" s="10" t="s">
        <v>281</v>
      </c>
      <c r="AB55" s="105" t="s">
        <v>283</v>
      </c>
      <c r="AC55" s="105"/>
      <c r="AD55" s="105" t="s">
        <v>286</v>
      </c>
      <c r="AE55" s="105"/>
      <c r="AF55" s="105"/>
      <c r="AG55" s="105"/>
      <c r="AI55" s="105" t="s">
        <v>264</v>
      </c>
      <c r="AJ55" s="105"/>
      <c r="AK55" s="105"/>
      <c r="AL55" s="105"/>
      <c r="AM55" s="105"/>
      <c r="AN55" s="105"/>
      <c r="AO55" s="105"/>
      <c r="AP55" s="105"/>
      <c r="AQ55" s="105" t="s">
        <v>273</v>
      </c>
      <c r="AR55" s="105"/>
      <c r="AS55" s="105"/>
      <c r="AT55" s="105"/>
      <c r="AU55" s="105"/>
      <c r="AV55" s="105"/>
      <c r="AW55" s="105"/>
      <c r="AX55" s="10" t="s">
        <v>281</v>
      </c>
      <c r="AY55" s="105" t="s">
        <v>283</v>
      </c>
      <c r="AZ55" s="105"/>
      <c r="BA55" s="105" t="s">
        <v>286</v>
      </c>
      <c r="BB55" s="105"/>
      <c r="BC55" s="105"/>
      <c r="BD55" s="105"/>
    </row>
    <row r="56" spans="1:56" ht="11.25" customHeight="1" x14ac:dyDescent="0.25">
      <c r="L56" s="10" t="s">
        <v>349</v>
      </c>
      <c r="M56" s="10" t="s">
        <v>265</v>
      </c>
      <c r="N56" s="10" t="s">
        <v>266</v>
      </c>
      <c r="O56" s="10" t="s">
        <v>267</v>
      </c>
      <c r="P56" s="10" t="s">
        <v>268</v>
      </c>
      <c r="Q56" s="10" t="s">
        <v>269</v>
      </c>
      <c r="R56" s="10" t="s">
        <v>270</v>
      </c>
      <c r="S56" s="10" t="s">
        <v>271</v>
      </c>
      <c r="T56" s="10" t="s">
        <v>274</v>
      </c>
      <c r="U56" s="10" t="s">
        <v>275</v>
      </c>
      <c r="V56" s="10" t="s">
        <v>276</v>
      </c>
      <c r="W56" s="10" t="s">
        <v>277</v>
      </c>
      <c r="X56" s="10" t="s">
        <v>278</v>
      </c>
      <c r="Y56" s="10" t="s">
        <v>279</v>
      </c>
      <c r="Z56" s="10" t="s">
        <v>280</v>
      </c>
      <c r="AA56" s="10" t="s">
        <v>282</v>
      </c>
      <c r="AB56" s="10" t="s">
        <v>284</v>
      </c>
      <c r="AC56" s="10" t="s">
        <v>285</v>
      </c>
      <c r="AD56" s="10" t="s">
        <v>287</v>
      </c>
      <c r="AE56" s="10" t="s">
        <v>288</v>
      </c>
      <c r="AF56" s="10" t="s">
        <v>289</v>
      </c>
      <c r="AG56" s="10" t="s">
        <v>290</v>
      </c>
      <c r="AI56" s="10" t="s">
        <v>349</v>
      </c>
      <c r="AJ56" s="10" t="s">
        <v>265</v>
      </c>
      <c r="AK56" s="10" t="s">
        <v>266</v>
      </c>
      <c r="AL56" s="10" t="s">
        <v>267</v>
      </c>
      <c r="AM56" s="10" t="s">
        <v>268</v>
      </c>
      <c r="AN56" s="10" t="s">
        <v>269</v>
      </c>
      <c r="AO56" s="10" t="s">
        <v>270</v>
      </c>
      <c r="AP56" s="10" t="s">
        <v>271</v>
      </c>
      <c r="AQ56" s="10" t="s">
        <v>274</v>
      </c>
      <c r="AR56" s="10" t="s">
        <v>275</v>
      </c>
      <c r="AS56" s="10" t="s">
        <v>276</v>
      </c>
      <c r="AT56" s="10" t="s">
        <v>277</v>
      </c>
      <c r="AU56" s="10" t="s">
        <v>278</v>
      </c>
      <c r="AV56" s="10" t="s">
        <v>279</v>
      </c>
      <c r="AW56" s="10" t="s">
        <v>280</v>
      </c>
      <c r="AX56" s="10" t="s">
        <v>282</v>
      </c>
      <c r="AY56" s="10" t="s">
        <v>284</v>
      </c>
      <c r="AZ56" s="10" t="s">
        <v>285</v>
      </c>
      <c r="BA56" s="10" t="s">
        <v>287</v>
      </c>
      <c r="BB56" s="10" t="s">
        <v>288</v>
      </c>
      <c r="BC56" s="10" t="s">
        <v>289</v>
      </c>
      <c r="BD56" s="10" t="s">
        <v>290</v>
      </c>
    </row>
    <row r="57" spans="1:56" ht="11.25" customHeight="1" x14ac:dyDescent="0.25">
      <c r="A57" s="9" t="s">
        <v>58</v>
      </c>
      <c r="B57" s="9" t="s">
        <v>571</v>
      </c>
      <c r="C57" s="9" t="s">
        <v>572</v>
      </c>
      <c r="D57" s="9" t="s">
        <v>573</v>
      </c>
      <c r="E57" s="9" t="s">
        <v>574</v>
      </c>
      <c r="F57" s="9" t="s">
        <v>575</v>
      </c>
      <c r="G57" s="9" t="s">
        <v>576</v>
      </c>
      <c r="L57" s="13">
        <f>$I$5*$L$5</f>
        <v>0</v>
      </c>
      <c r="M57" s="13">
        <f>$I$5*$M$5</f>
        <v>0</v>
      </c>
      <c r="N57" s="13">
        <f ca="1">$I$5*$N$5</f>
        <v>0</v>
      </c>
      <c r="O57" s="13">
        <f>$I$5*$O$5</f>
        <v>0</v>
      </c>
      <c r="P57" s="13">
        <f>$I$5*$P$5</f>
        <v>0</v>
      </c>
      <c r="Q57" s="13">
        <f>$I$5*$Q$5</f>
        <v>0</v>
      </c>
      <c r="R57" s="13">
        <f>$I$5*$R$5</f>
        <v>0</v>
      </c>
      <c r="S57" s="13">
        <f>$I$5*$S$5</f>
        <v>0</v>
      </c>
      <c r="T57" s="13">
        <f>$I$5*$T$5</f>
        <v>0</v>
      </c>
      <c r="U57" s="13">
        <f>$I$5*$U$5</f>
        <v>0</v>
      </c>
      <c r="V57" s="13">
        <f>$I$5*$V$5</f>
        <v>0</v>
      </c>
      <c r="W57" s="13">
        <f>$I$5*$W$5</f>
        <v>0</v>
      </c>
      <c r="X57" s="13">
        <f>$I$5*$X$5</f>
        <v>4.8093976275137079E-7</v>
      </c>
      <c r="Y57" s="13">
        <f>$I$5*$Y$5</f>
        <v>0</v>
      </c>
      <c r="Z57" s="13">
        <f>$I$5*$Z$5</f>
        <v>0</v>
      </c>
      <c r="AA57" s="13">
        <f>$I$5*$AA$5</f>
        <v>4.3387702830038794E-7</v>
      </c>
      <c r="AB57" s="13">
        <f ca="1">$I$5*$AB$5</f>
        <v>0</v>
      </c>
      <c r="AC57" s="13">
        <f ca="1">$I$5*$AC$5</f>
        <v>0</v>
      </c>
      <c r="AD57" s="13">
        <f>$I$5*$AD$5</f>
        <v>0</v>
      </c>
      <c r="AE57" s="13">
        <f>$I$5*$AE$5</f>
        <v>0</v>
      </c>
      <c r="AF57" s="13">
        <f ca="1">$I$5*$AF$5</f>
        <v>0</v>
      </c>
      <c r="AG57" s="13">
        <f ca="1">$I$5*$AG$5</f>
        <v>0</v>
      </c>
      <c r="AI57" s="13">
        <f>$I$5*$AI$5</f>
        <v>0</v>
      </c>
      <c r="AJ57" s="13">
        <f>$I$5*$AJ$5</f>
        <v>0</v>
      </c>
      <c r="AK57" s="13">
        <f>$I$5*$AK$5</f>
        <v>0</v>
      </c>
      <c r="AL57" s="13">
        <f>$I$5*$AL$5</f>
        <v>0</v>
      </c>
      <c r="AM57" s="13">
        <f>$I$5*$AM$5</f>
        <v>0</v>
      </c>
      <c r="AN57" s="13">
        <f>$I$5*$AN$5</f>
        <v>0</v>
      </c>
      <c r="AO57" s="13">
        <f>$I$5*$AO$5</f>
        <v>0</v>
      </c>
      <c r="AP57" s="13">
        <f>$I$5*$AP$5</f>
        <v>0</v>
      </c>
      <c r="AQ57" s="13">
        <f>$I$5*$AQ$5</f>
        <v>0</v>
      </c>
      <c r="AR57" s="13">
        <f>$I$5*$AR$5</f>
        <v>0</v>
      </c>
      <c r="AS57" s="13">
        <f>$I$5*$AS$5</f>
        <v>0</v>
      </c>
      <c r="AT57" s="13">
        <f>$I$5*$AT$5</f>
        <v>0</v>
      </c>
      <c r="AU57" s="13">
        <f>$I$5*$AU$5</f>
        <v>0</v>
      </c>
      <c r="AV57" s="13">
        <f>$I$5*$AV$5</f>
        <v>0</v>
      </c>
      <c r="AW57" s="13">
        <f>$I$5*$AW$5</f>
        <v>0</v>
      </c>
      <c r="AX57" s="13">
        <f>$I$5*$AX$5</f>
        <v>0</v>
      </c>
      <c r="AY57" s="13">
        <f>$I$5*$AY$5</f>
        <v>0</v>
      </c>
      <c r="AZ57" s="13">
        <f>$I$5*$AZ$5</f>
        <v>0</v>
      </c>
      <c r="BA57" s="13">
        <f>$I$5*$BA$5</f>
        <v>0</v>
      </c>
      <c r="BB57" s="13">
        <f>$I$5*$BB$5</f>
        <v>0</v>
      </c>
      <c r="BC57" s="13">
        <f>$I$5*$BC$5</f>
        <v>0</v>
      </c>
      <c r="BD57" s="13">
        <f>$I$5*$BD$5</f>
        <v>0</v>
      </c>
    </row>
    <row r="58" spans="1:56" ht="11.25" customHeight="1" x14ac:dyDescent="0.25">
      <c r="A58" s="9" t="s">
        <v>58</v>
      </c>
      <c r="B58" s="9" t="s">
        <v>571</v>
      </c>
      <c r="C58" s="9" t="s">
        <v>572</v>
      </c>
      <c r="D58" s="9" t="s">
        <v>573</v>
      </c>
      <c r="E58" s="9" t="s">
        <v>574</v>
      </c>
      <c r="F58" s="9" t="s">
        <v>575</v>
      </c>
      <c r="G58" s="9" t="s">
        <v>577</v>
      </c>
      <c r="L58" s="13">
        <f>$I$6*$L$6</f>
        <v>0</v>
      </c>
      <c r="M58" s="13">
        <f>$I$6*$M$6</f>
        <v>0</v>
      </c>
      <c r="N58" s="13">
        <f ca="1">$I$6*$N$6</f>
        <v>0</v>
      </c>
      <c r="O58" s="13">
        <f>$I$6*$O$6</f>
        <v>0</v>
      </c>
      <c r="P58" s="13">
        <f>$I$6*$P$6</f>
        <v>0</v>
      </c>
      <c r="Q58" s="13">
        <f>$I$6*$Q$6</f>
        <v>0</v>
      </c>
      <c r="R58" s="13">
        <f>$I$6*$R$6</f>
        <v>0</v>
      </c>
      <c r="S58" s="13">
        <f>$I$6*$S$6</f>
        <v>0</v>
      </c>
      <c r="T58" s="13">
        <f>$I$6*$T$6</f>
        <v>0</v>
      </c>
      <c r="U58" s="13">
        <f>$I$6*$U$6</f>
        <v>0</v>
      </c>
      <c r="V58" s="13">
        <f>$I$6*$V$6</f>
        <v>0</v>
      </c>
      <c r="W58" s="13">
        <f>$I$6*$W$6</f>
        <v>0</v>
      </c>
      <c r="X58" s="13">
        <f>$I$6*$X$6</f>
        <v>1.9438998422803665E-7</v>
      </c>
      <c r="Y58" s="13">
        <f>$I$6*$Y$6</f>
        <v>0</v>
      </c>
      <c r="Z58" s="13">
        <f>$I$6*$Z$6</f>
        <v>0</v>
      </c>
      <c r="AA58" s="13">
        <f>$I$6*$AA$6</f>
        <v>1.2123975664116038E-7</v>
      </c>
      <c r="AB58" s="13">
        <f ca="1">$I$6*$AB$6</f>
        <v>0</v>
      </c>
      <c r="AC58" s="13">
        <f ca="1">$I$6*$AC$6</f>
        <v>0</v>
      </c>
      <c r="AD58" s="13">
        <f>$I$6*$AD$6</f>
        <v>0</v>
      </c>
      <c r="AE58" s="13">
        <f>$I$6*$AE$6</f>
        <v>0</v>
      </c>
      <c r="AF58" s="13">
        <f ca="1">$I$6*$AF$6</f>
        <v>0</v>
      </c>
      <c r="AG58" s="13">
        <f ca="1">$I$6*$AG$6</f>
        <v>0</v>
      </c>
      <c r="AI58" s="13">
        <f>$I$6*$AI$6</f>
        <v>0</v>
      </c>
      <c r="AJ58" s="13">
        <f>$I$6*$AJ$6</f>
        <v>0</v>
      </c>
      <c r="AK58" s="13">
        <f>$I$6*$AK$6</f>
        <v>0</v>
      </c>
      <c r="AL58" s="13">
        <f>$I$6*$AL$6</f>
        <v>0</v>
      </c>
      <c r="AM58" s="13">
        <f>$I$6*$AM$6</f>
        <v>0</v>
      </c>
      <c r="AN58" s="13">
        <f>$I$6*$AN$6</f>
        <v>0</v>
      </c>
      <c r="AO58" s="13">
        <f>$I$6*$AO$6</f>
        <v>0</v>
      </c>
      <c r="AP58" s="13">
        <f>$I$6*$AP$6</f>
        <v>0</v>
      </c>
      <c r="AQ58" s="13">
        <f>$I$6*$AQ$6</f>
        <v>0</v>
      </c>
      <c r="AR58" s="13">
        <f>$I$6*$AR$6</f>
        <v>0</v>
      </c>
      <c r="AS58" s="13">
        <f>$I$6*$AS$6</f>
        <v>0</v>
      </c>
      <c r="AT58" s="13">
        <f>$I$6*$AT$6</f>
        <v>0</v>
      </c>
      <c r="AU58" s="13">
        <f>$I$6*$AU$6</f>
        <v>0</v>
      </c>
      <c r="AV58" s="13">
        <f>$I$6*$AV$6</f>
        <v>0</v>
      </c>
      <c r="AW58" s="13">
        <f>$I$6*$AW$6</f>
        <v>0</v>
      </c>
      <c r="AX58" s="13">
        <f>$I$6*$AX$6</f>
        <v>0</v>
      </c>
      <c r="AY58" s="13">
        <f>$I$6*$AY$6</f>
        <v>0</v>
      </c>
      <c r="AZ58" s="13">
        <f>$I$6*$AZ$6</f>
        <v>0</v>
      </c>
      <c r="BA58" s="13">
        <f>$I$6*$BA$6</f>
        <v>0</v>
      </c>
      <c r="BB58" s="13">
        <f>$I$6*$BB$6</f>
        <v>0</v>
      </c>
      <c r="BC58" s="13">
        <f>$I$6*$BC$6</f>
        <v>0</v>
      </c>
      <c r="BD58" s="13">
        <f>$I$6*$BD$6</f>
        <v>0</v>
      </c>
    </row>
    <row r="59" spans="1:56" ht="11.25" customHeight="1" x14ac:dyDescent="0.25">
      <c r="A59" s="9" t="s">
        <v>58</v>
      </c>
      <c r="B59" s="9" t="s">
        <v>571</v>
      </c>
      <c r="C59" s="9" t="s">
        <v>572</v>
      </c>
      <c r="D59" s="9" t="s">
        <v>573</v>
      </c>
      <c r="E59" s="9" t="s">
        <v>574</v>
      </c>
      <c r="F59" s="9" t="s">
        <v>575</v>
      </c>
      <c r="G59" s="9" t="s">
        <v>578</v>
      </c>
      <c r="L59" s="13">
        <f>$I$7*$L$7</f>
        <v>2.605705032773687E-7</v>
      </c>
      <c r="M59" s="13">
        <f>$I$7*$M$7</f>
        <v>4.4513562127626818E-8</v>
      </c>
      <c r="N59" s="13">
        <f ca="1">$I$7*$N$7</f>
        <v>0</v>
      </c>
      <c r="O59" s="13">
        <f>$I$7*$O$7</f>
        <v>0</v>
      </c>
      <c r="P59" s="13">
        <f>$I$7*$P$7</f>
        <v>0</v>
      </c>
      <c r="Q59" s="13">
        <f>$I$7*$Q$7</f>
        <v>7.4659680035028414E-7</v>
      </c>
      <c r="R59" s="13">
        <f>$I$7*$R$7</f>
        <v>1.4060328828195002E-7</v>
      </c>
      <c r="S59" s="13">
        <f>$I$7*$S$7</f>
        <v>0</v>
      </c>
      <c r="T59" s="13">
        <f>$I$7*$T$7</f>
        <v>0</v>
      </c>
      <c r="U59" s="13">
        <f>$I$7*$U$7</f>
        <v>0</v>
      </c>
      <c r="V59" s="13">
        <f>$I$7*$V$7</f>
        <v>0</v>
      </c>
      <c r="W59" s="13">
        <f>$I$7*$W$7</f>
        <v>0</v>
      </c>
      <c r="X59" s="13">
        <f>$I$7*$X$7</f>
        <v>0</v>
      </c>
      <c r="Y59" s="13">
        <f>$I$7*$Y$7</f>
        <v>0</v>
      </c>
      <c r="Z59" s="13">
        <f>$I$7*$Z$7</f>
        <v>0</v>
      </c>
      <c r="AA59" s="13">
        <f>$I$7*$AA$7</f>
        <v>0</v>
      </c>
      <c r="AB59" s="13">
        <f ca="1">$I$7*$AB$7</f>
        <v>0</v>
      </c>
      <c r="AC59" s="13">
        <f ca="1">$I$7*$AC$7</f>
        <v>0</v>
      </c>
      <c r="AD59" s="13">
        <f>$I$7*$AD$7</f>
        <v>4.8232843462582241E-8</v>
      </c>
      <c r="AE59" s="13">
        <f>$I$7*$AE$7</f>
        <v>0</v>
      </c>
      <c r="AF59" s="13">
        <f ca="1">$I$7*$AF$7</f>
        <v>0</v>
      </c>
      <c r="AG59" s="13">
        <f ca="1">$I$7*$AG$7</f>
        <v>0</v>
      </c>
      <c r="AI59" s="13">
        <f>$I$7*$AI$7</f>
        <v>0</v>
      </c>
      <c r="AJ59" s="13">
        <f>$I$7*$AJ$7</f>
        <v>0</v>
      </c>
      <c r="AK59" s="13">
        <f>$I$7*$AK$7</f>
        <v>0</v>
      </c>
      <c r="AL59" s="13">
        <f>$I$7*$AL$7</f>
        <v>0</v>
      </c>
      <c r="AM59" s="13">
        <f>$I$7*$AM$7</f>
        <v>0</v>
      </c>
      <c r="AN59" s="13">
        <f>$I$7*$AN$7</f>
        <v>0</v>
      </c>
      <c r="AO59" s="13">
        <f>$I$7*$AO$7</f>
        <v>0</v>
      </c>
      <c r="AP59" s="13">
        <f>$I$7*$AP$7</f>
        <v>0</v>
      </c>
      <c r="AQ59" s="13">
        <f>$I$7*$AQ$7</f>
        <v>0</v>
      </c>
      <c r="AR59" s="13">
        <f>$I$7*$AR$7</f>
        <v>0</v>
      </c>
      <c r="AS59" s="13">
        <f>$I$7*$AS$7</f>
        <v>0</v>
      </c>
      <c r="AT59" s="13">
        <f>$I$7*$AT$7</f>
        <v>0</v>
      </c>
      <c r="AU59" s="13">
        <f>$I$7*$AU$7</f>
        <v>0</v>
      </c>
      <c r="AV59" s="13">
        <f>$I$7*$AV$7</f>
        <v>0</v>
      </c>
      <c r="AW59" s="13">
        <f>$I$7*$AW$7</f>
        <v>0</v>
      </c>
      <c r="AX59" s="13">
        <f>$I$7*$AX$7</f>
        <v>0</v>
      </c>
      <c r="AY59" s="13">
        <f>$I$7*$AY$7</f>
        <v>0</v>
      </c>
      <c r="AZ59" s="13">
        <f>$I$7*$AZ$7</f>
        <v>0</v>
      </c>
      <c r="BA59" s="13">
        <f>$I$7*$BA$7</f>
        <v>0</v>
      </c>
      <c r="BB59" s="13">
        <f>$I$7*$BB$7</f>
        <v>0</v>
      </c>
      <c r="BC59" s="13">
        <f>$I$7*$BC$7</f>
        <v>0</v>
      </c>
      <c r="BD59" s="13">
        <f>$I$7*$BD$7</f>
        <v>0</v>
      </c>
    </row>
    <row r="60" spans="1:56" ht="11.25" customHeight="1" x14ac:dyDescent="0.25">
      <c r="A60" s="9" t="s">
        <v>58</v>
      </c>
      <c r="B60" s="9" t="s">
        <v>571</v>
      </c>
      <c r="C60" s="9" t="s">
        <v>572</v>
      </c>
      <c r="D60" s="9" t="s">
        <v>573</v>
      </c>
      <c r="E60" s="9" t="s">
        <v>579</v>
      </c>
      <c r="F60" s="9" t="s">
        <v>580</v>
      </c>
      <c r="G60" s="9" t="s">
        <v>581</v>
      </c>
      <c r="L60" s="13">
        <f>$I$8*$L$8</f>
        <v>0</v>
      </c>
      <c r="M60" s="13">
        <f>$I$8*$M$8</f>
        <v>4.4513562127626818E-8</v>
      </c>
      <c r="N60" s="13">
        <f ca="1">$I$8*$N$8</f>
        <v>0</v>
      </c>
      <c r="O60" s="13">
        <f>$I$8*$O$8</f>
        <v>0</v>
      </c>
      <c r="P60" s="13">
        <f>$I$8*$P$8</f>
        <v>0</v>
      </c>
      <c r="Q60" s="13">
        <f>$I$8*$Q$8</f>
        <v>0</v>
      </c>
      <c r="R60" s="13">
        <f>$I$8*$R$8</f>
        <v>0</v>
      </c>
      <c r="S60" s="13">
        <f>$I$8*$S$8</f>
        <v>0</v>
      </c>
      <c r="T60" s="13">
        <f>$I$8*$T$8</f>
        <v>0</v>
      </c>
      <c r="U60" s="13">
        <f>$I$8*$U$8</f>
        <v>0</v>
      </c>
      <c r="V60" s="13">
        <f>$I$8*$V$8</f>
        <v>0</v>
      </c>
      <c r="W60" s="13">
        <f>$I$8*$W$8</f>
        <v>0</v>
      </c>
      <c r="X60" s="13">
        <f>$I$8*$X$8</f>
        <v>0</v>
      </c>
      <c r="Y60" s="13">
        <f>$I$8*$Y$8</f>
        <v>0</v>
      </c>
      <c r="Z60" s="13">
        <f>$I$8*$Z$8</f>
        <v>0</v>
      </c>
      <c r="AA60" s="13">
        <f>$I$8*$AA$8</f>
        <v>0</v>
      </c>
      <c r="AB60" s="13">
        <f ca="1">$I$8*$AB$8</f>
        <v>0</v>
      </c>
      <c r="AC60" s="13">
        <f ca="1">$I$8*$AC$8</f>
        <v>0</v>
      </c>
      <c r="AD60" s="13">
        <f>$I$8*$AD$8</f>
        <v>4.8232843462582241E-8</v>
      </c>
      <c r="AE60" s="13">
        <f>$I$8*$AE$8</f>
        <v>0</v>
      </c>
      <c r="AF60" s="13">
        <f ca="1">$I$8*$AF$8</f>
        <v>0</v>
      </c>
      <c r="AG60" s="13">
        <f ca="1">$I$8*$AG$8</f>
        <v>0</v>
      </c>
      <c r="AI60" s="13">
        <f>$I$8*$AI$8</f>
        <v>0</v>
      </c>
      <c r="AJ60" s="13">
        <f>$I$8*$AJ$8</f>
        <v>0</v>
      </c>
      <c r="AK60" s="13">
        <f>$I$8*$AK$8</f>
        <v>0</v>
      </c>
      <c r="AL60" s="13">
        <f>$I$8*$AL$8</f>
        <v>0</v>
      </c>
      <c r="AM60" s="13">
        <f>$I$8*$AM$8</f>
        <v>0</v>
      </c>
      <c r="AN60" s="13">
        <f>$I$8*$AN$8</f>
        <v>0</v>
      </c>
      <c r="AO60" s="13">
        <f>$I$8*$AO$8</f>
        <v>0</v>
      </c>
      <c r="AP60" s="13">
        <f>$I$8*$AP$8</f>
        <v>0</v>
      </c>
      <c r="AQ60" s="13">
        <f>$I$8*$AQ$8</f>
        <v>0</v>
      </c>
      <c r="AR60" s="13">
        <f>$I$8*$AR$8</f>
        <v>0</v>
      </c>
      <c r="AS60" s="13">
        <f>$I$8*$AS$8</f>
        <v>0</v>
      </c>
      <c r="AT60" s="13">
        <f>$I$8*$AT$8</f>
        <v>0</v>
      </c>
      <c r="AU60" s="13">
        <f>$I$8*$AU$8</f>
        <v>0</v>
      </c>
      <c r="AV60" s="13">
        <f>$I$8*$AV$8</f>
        <v>0</v>
      </c>
      <c r="AW60" s="13">
        <f>$I$8*$AW$8</f>
        <v>0</v>
      </c>
      <c r="AX60" s="13">
        <f>$I$8*$AX$8</f>
        <v>0</v>
      </c>
      <c r="AY60" s="13">
        <f>$I$8*$AY$8</f>
        <v>0</v>
      </c>
      <c r="AZ60" s="13">
        <f>$I$8*$AZ$8</f>
        <v>0</v>
      </c>
      <c r="BA60" s="13">
        <f>$I$8*$BA$8</f>
        <v>0</v>
      </c>
      <c r="BB60" s="13">
        <f>$I$8*$BB$8</f>
        <v>0</v>
      </c>
      <c r="BC60" s="13">
        <f>$I$8*$BC$8</f>
        <v>0</v>
      </c>
      <c r="BD60" s="13">
        <f>$I$8*$BD$8</f>
        <v>0</v>
      </c>
    </row>
    <row r="61" spans="1:56" ht="11.25" customHeight="1" x14ac:dyDescent="0.25">
      <c r="A61" s="9" t="s">
        <v>58</v>
      </c>
      <c r="B61" s="9" t="s">
        <v>582</v>
      </c>
      <c r="C61" s="9" t="s">
        <v>583</v>
      </c>
      <c r="D61" s="9" t="s">
        <v>584</v>
      </c>
      <c r="E61" s="9" t="s">
        <v>585</v>
      </c>
      <c r="F61" s="9" t="s">
        <v>586</v>
      </c>
      <c r="G61" s="9" t="s">
        <v>587</v>
      </c>
      <c r="L61" s="13">
        <f>$I$9*$L$9</f>
        <v>0</v>
      </c>
      <c r="M61" s="13">
        <f>$I$9*$M$9</f>
        <v>1.0098136210659333E-10</v>
      </c>
      <c r="N61" s="13">
        <f ca="1">$I$9*$N$9</f>
        <v>0</v>
      </c>
      <c r="O61" s="13">
        <f>$I$9*$O$9</f>
        <v>0</v>
      </c>
      <c r="P61" s="13">
        <f>$I$9*$P$9</f>
        <v>0</v>
      </c>
      <c r="Q61" s="13">
        <f>$I$9*$Q$9</f>
        <v>0</v>
      </c>
      <c r="R61" s="13">
        <f>$I$9*$R$9</f>
        <v>0</v>
      </c>
      <c r="S61" s="13">
        <f>$I$9*$S$9</f>
        <v>0</v>
      </c>
      <c r="T61" s="13">
        <f>$I$9*$T$9</f>
        <v>0</v>
      </c>
      <c r="U61" s="13">
        <f>$I$9*$U$9</f>
        <v>0</v>
      </c>
      <c r="V61" s="13">
        <f>$I$9*$V$9</f>
        <v>0</v>
      </c>
      <c r="W61" s="13">
        <f>$I$9*$W$9</f>
        <v>0</v>
      </c>
      <c r="X61" s="13">
        <f>$I$9*$X$9</f>
        <v>0</v>
      </c>
      <c r="Y61" s="13">
        <f>$I$9*$Y$9</f>
        <v>0</v>
      </c>
      <c r="Z61" s="13">
        <f>$I$9*$Z$9</f>
        <v>0</v>
      </c>
      <c r="AA61" s="13">
        <f>$I$9*$AA$9</f>
        <v>5.4849298677658068E-8</v>
      </c>
      <c r="AB61" s="13">
        <f ca="1">$I$9*$AB$9</f>
        <v>0</v>
      </c>
      <c r="AC61" s="13">
        <f ca="1">$I$9*$AC$9</f>
        <v>0</v>
      </c>
      <c r="AD61" s="13">
        <f>$I$9*$AD$9</f>
        <v>0</v>
      </c>
      <c r="AE61" s="13">
        <f>$I$9*$AE$9</f>
        <v>0</v>
      </c>
      <c r="AF61" s="13">
        <f ca="1">$I$9*$AF$9</f>
        <v>0</v>
      </c>
      <c r="AG61" s="13">
        <f ca="1">$I$9*$AG$9</f>
        <v>0</v>
      </c>
      <c r="AI61" s="13">
        <f>$I$9*$AI$9</f>
        <v>0</v>
      </c>
      <c r="AJ61" s="13">
        <f>$I$9*$AJ$9</f>
        <v>0</v>
      </c>
      <c r="AK61" s="13">
        <f>$I$9*$AK$9</f>
        <v>0</v>
      </c>
      <c r="AL61" s="13">
        <f>$I$9*$AL$9</f>
        <v>0</v>
      </c>
      <c r="AM61" s="13">
        <f>$I$9*$AM$9</f>
        <v>0</v>
      </c>
      <c r="AN61" s="13">
        <f>$I$9*$AN$9</f>
        <v>0</v>
      </c>
      <c r="AO61" s="13">
        <f>$I$9*$AO$9</f>
        <v>0</v>
      </c>
      <c r="AP61" s="13">
        <f>$I$9*$AP$9</f>
        <v>0</v>
      </c>
      <c r="AQ61" s="13">
        <f>$I$9*$AQ$9</f>
        <v>0</v>
      </c>
      <c r="AR61" s="13">
        <f>$I$9*$AR$9</f>
        <v>0</v>
      </c>
      <c r="AS61" s="13">
        <f>$I$9*$AS$9</f>
        <v>0</v>
      </c>
      <c r="AT61" s="13">
        <f>$I$9*$AT$9</f>
        <v>0</v>
      </c>
      <c r="AU61" s="13">
        <f>$I$9*$AU$9</f>
        <v>0</v>
      </c>
      <c r="AV61" s="13">
        <f>$I$9*$AV$9</f>
        <v>0</v>
      </c>
      <c r="AW61" s="13">
        <f>$I$9*$AW$9</f>
        <v>0</v>
      </c>
      <c r="AX61" s="13">
        <f>$I$9*$AX$9</f>
        <v>0</v>
      </c>
      <c r="AY61" s="13">
        <f>$I$9*$AY$9</f>
        <v>0</v>
      </c>
      <c r="AZ61" s="13">
        <f>$I$9*$AZ$9</f>
        <v>0</v>
      </c>
      <c r="BA61" s="13">
        <f>$I$9*$BA$9</f>
        <v>0</v>
      </c>
      <c r="BB61" s="13">
        <f>$I$9*$BB$9</f>
        <v>0</v>
      </c>
      <c r="BC61" s="13">
        <f>$I$9*$BC$9</f>
        <v>0</v>
      </c>
      <c r="BD61" s="13">
        <f>$I$9*$BD$9</f>
        <v>0</v>
      </c>
    </row>
    <row r="62" spans="1:56" ht="11.25" customHeight="1" x14ac:dyDescent="0.25">
      <c r="A62" s="9" t="s">
        <v>58</v>
      </c>
      <c r="B62" s="9" t="s">
        <v>588</v>
      </c>
      <c r="C62" s="9" t="s">
        <v>589</v>
      </c>
      <c r="D62" s="9" t="s">
        <v>590</v>
      </c>
      <c r="E62" s="9" t="s">
        <v>591</v>
      </c>
      <c r="F62" s="9" t="s">
        <v>592</v>
      </c>
      <c r="G62" s="9" t="s">
        <v>593</v>
      </c>
      <c r="L62" s="13">
        <f>$I$10*$L$10</f>
        <v>0</v>
      </c>
      <c r="M62" s="13">
        <f>$I$10*$M$10</f>
        <v>0</v>
      </c>
      <c r="N62" s="13">
        <f ca="1">$I$10*$N$10</f>
        <v>0</v>
      </c>
      <c r="O62" s="13">
        <f>$I$10*$O$10</f>
        <v>0</v>
      </c>
      <c r="P62" s="13">
        <f>$I$10*$P$10</f>
        <v>0</v>
      </c>
      <c r="Q62" s="13">
        <f>$I$10*$Q$10</f>
        <v>0</v>
      </c>
      <c r="R62" s="13">
        <f>$I$10*$R$10</f>
        <v>0</v>
      </c>
      <c r="S62" s="13">
        <f>$I$10*$S$10</f>
        <v>0</v>
      </c>
      <c r="T62" s="13">
        <f>$I$10*$T$10</f>
        <v>0</v>
      </c>
      <c r="U62" s="13">
        <f>$I$10*$U$10</f>
        <v>0</v>
      </c>
      <c r="V62" s="13">
        <f>$I$10*$V$10</f>
        <v>0</v>
      </c>
      <c r="W62" s="13">
        <f>$I$10*$W$10</f>
        <v>0</v>
      </c>
      <c r="X62" s="13">
        <f>$I$10*$X$10</f>
        <v>1.9438998422803665E-7</v>
      </c>
      <c r="Y62" s="13">
        <f>$I$10*$Y$10</f>
        <v>0</v>
      </c>
      <c r="Z62" s="13">
        <f>$I$10*$Z$10</f>
        <v>0</v>
      </c>
      <c r="AA62" s="13">
        <f>$I$10*$AA$10</f>
        <v>1.2123975664116038E-7</v>
      </c>
      <c r="AB62" s="13">
        <f ca="1">$I$10*$AB$10</f>
        <v>0</v>
      </c>
      <c r="AC62" s="13">
        <f ca="1">$I$10*$AC$10</f>
        <v>0</v>
      </c>
      <c r="AD62" s="13">
        <f>$I$10*$AD$10</f>
        <v>0</v>
      </c>
      <c r="AE62" s="13">
        <f>$I$10*$AE$10</f>
        <v>0</v>
      </c>
      <c r="AF62" s="13">
        <f ca="1">$I$10*$AF$10</f>
        <v>0</v>
      </c>
      <c r="AG62" s="13">
        <f ca="1">$I$10*$AG$10</f>
        <v>0</v>
      </c>
      <c r="AI62" s="13">
        <f>$I$10*$AI$10</f>
        <v>0</v>
      </c>
      <c r="AJ62" s="13">
        <f>$I$10*$AJ$10</f>
        <v>0</v>
      </c>
      <c r="AK62" s="13">
        <f>$I$10*$AK$10</f>
        <v>0</v>
      </c>
      <c r="AL62" s="13">
        <f>$I$10*$AL$10</f>
        <v>0</v>
      </c>
      <c r="AM62" s="13">
        <f>$I$10*$AM$10</f>
        <v>0</v>
      </c>
      <c r="AN62" s="13">
        <f>$I$10*$AN$10</f>
        <v>0</v>
      </c>
      <c r="AO62" s="13">
        <f>$I$10*$AO$10</f>
        <v>0</v>
      </c>
      <c r="AP62" s="13">
        <f>$I$10*$AP$10</f>
        <v>0</v>
      </c>
      <c r="AQ62" s="13">
        <f>$I$10*$AQ$10</f>
        <v>0</v>
      </c>
      <c r="AR62" s="13">
        <f>$I$10*$AR$10</f>
        <v>0</v>
      </c>
      <c r="AS62" s="13">
        <f>$I$10*$AS$10</f>
        <v>0</v>
      </c>
      <c r="AT62" s="13">
        <f>$I$10*$AT$10</f>
        <v>0</v>
      </c>
      <c r="AU62" s="13">
        <f>$I$10*$AU$10</f>
        <v>0</v>
      </c>
      <c r="AV62" s="13">
        <f>$I$10*$AV$10</f>
        <v>0</v>
      </c>
      <c r="AW62" s="13">
        <f>$I$10*$AW$10</f>
        <v>0</v>
      </c>
      <c r="AX62" s="13">
        <f>$I$10*$AX$10</f>
        <v>0</v>
      </c>
      <c r="AY62" s="13">
        <f>$I$10*$AY$10</f>
        <v>0</v>
      </c>
      <c r="AZ62" s="13">
        <f>$I$10*$AZ$10</f>
        <v>0</v>
      </c>
      <c r="BA62" s="13">
        <f>$I$10*$BA$10</f>
        <v>0</v>
      </c>
      <c r="BB62" s="13">
        <f>$I$10*$BB$10</f>
        <v>0</v>
      </c>
      <c r="BC62" s="13">
        <f>$I$10*$BC$10</f>
        <v>0</v>
      </c>
      <c r="BD62" s="13">
        <f>$I$10*$BD$10</f>
        <v>0</v>
      </c>
    </row>
    <row r="63" spans="1:56" ht="11.25" customHeight="1" x14ac:dyDescent="0.25">
      <c r="A63" s="9" t="s">
        <v>58</v>
      </c>
      <c r="B63" s="9" t="s">
        <v>588</v>
      </c>
      <c r="C63" s="9" t="s">
        <v>589</v>
      </c>
      <c r="D63" s="9" t="s">
        <v>590</v>
      </c>
      <c r="E63" s="9" t="s">
        <v>591</v>
      </c>
      <c r="F63" s="9" t="s">
        <v>592</v>
      </c>
      <c r="G63" s="9" t="s">
        <v>594</v>
      </c>
      <c r="L63" s="13">
        <f>$I$11*$L$11</f>
        <v>2.605705032773687E-7</v>
      </c>
      <c r="M63" s="13">
        <f>$I$11*$M$11</f>
        <v>4.4513562127626818E-8</v>
      </c>
      <c r="N63" s="13">
        <f ca="1">$I$11*$N$11</f>
        <v>0</v>
      </c>
      <c r="O63" s="13">
        <f>$I$11*$O$11</f>
        <v>0</v>
      </c>
      <c r="P63" s="13">
        <f>$I$11*$P$11</f>
        <v>0</v>
      </c>
      <c r="Q63" s="13">
        <f>$I$11*$Q$11</f>
        <v>7.4659680035028414E-7</v>
      </c>
      <c r="R63" s="13">
        <f>$I$11*$R$11</f>
        <v>1.4060328828195002E-7</v>
      </c>
      <c r="S63" s="13">
        <f>$I$11*$S$11</f>
        <v>0</v>
      </c>
      <c r="T63" s="13">
        <f>$I$11*$T$11</f>
        <v>0</v>
      </c>
      <c r="U63" s="13">
        <f>$I$11*$U$11</f>
        <v>0</v>
      </c>
      <c r="V63" s="13">
        <f>$I$11*$V$11</f>
        <v>0</v>
      </c>
      <c r="W63" s="13">
        <f>$I$11*$W$11</f>
        <v>0</v>
      </c>
      <c r="X63" s="13">
        <f>$I$11*$X$11</f>
        <v>1.1571220953737027E-5</v>
      </c>
      <c r="Y63" s="13">
        <f>$I$11*$Y$11</f>
        <v>0</v>
      </c>
      <c r="Z63" s="13">
        <f>$I$11*$Z$11</f>
        <v>0</v>
      </c>
      <c r="AA63" s="13">
        <f>$I$11*$AA$11</f>
        <v>1.0434750194992233E-5</v>
      </c>
      <c r="AB63" s="13">
        <f ca="1">$I$11*$AB$11</f>
        <v>0</v>
      </c>
      <c r="AC63" s="13">
        <f ca="1">$I$11*$AC$11</f>
        <v>0</v>
      </c>
      <c r="AD63" s="13">
        <f>$I$11*$AD$11</f>
        <v>4.8232843462582241E-8</v>
      </c>
      <c r="AE63" s="13">
        <f>$I$11*$AE$11</f>
        <v>0</v>
      </c>
      <c r="AF63" s="13">
        <f ca="1">$I$11*$AF$11</f>
        <v>0</v>
      </c>
      <c r="AG63" s="13">
        <f ca="1">$I$11*$AG$11</f>
        <v>0</v>
      </c>
      <c r="AI63" s="13">
        <f>$I$11*$AI$11</f>
        <v>0</v>
      </c>
      <c r="AJ63" s="13">
        <f>$I$11*$AJ$11</f>
        <v>0</v>
      </c>
      <c r="AK63" s="13">
        <f>$I$11*$AK$11</f>
        <v>0</v>
      </c>
      <c r="AL63" s="13">
        <f>$I$11*$AL$11</f>
        <v>0</v>
      </c>
      <c r="AM63" s="13">
        <f>$I$11*$AM$11</f>
        <v>0</v>
      </c>
      <c r="AN63" s="13">
        <f>$I$11*$AN$11</f>
        <v>0</v>
      </c>
      <c r="AO63" s="13">
        <f>$I$11*$AO$11</f>
        <v>0</v>
      </c>
      <c r="AP63" s="13">
        <f>$I$11*$AP$11</f>
        <v>0</v>
      </c>
      <c r="AQ63" s="13">
        <f>$I$11*$AQ$11</f>
        <v>0</v>
      </c>
      <c r="AR63" s="13">
        <f>$I$11*$AR$11</f>
        <v>0</v>
      </c>
      <c r="AS63" s="13">
        <f>$I$11*$AS$11</f>
        <v>0</v>
      </c>
      <c r="AT63" s="13">
        <f>$I$11*$AT$11</f>
        <v>0</v>
      </c>
      <c r="AU63" s="13">
        <f>$I$11*$AU$11</f>
        <v>0</v>
      </c>
      <c r="AV63" s="13">
        <f>$I$11*$AV$11</f>
        <v>0</v>
      </c>
      <c r="AW63" s="13">
        <f>$I$11*$AW$11</f>
        <v>0</v>
      </c>
      <c r="AX63" s="13">
        <f>$I$11*$AX$11</f>
        <v>0</v>
      </c>
      <c r="AY63" s="13">
        <f>$I$11*$AY$11</f>
        <v>0</v>
      </c>
      <c r="AZ63" s="13">
        <f>$I$11*$AZ$11</f>
        <v>0</v>
      </c>
      <c r="BA63" s="13">
        <f>$I$11*$BA$11</f>
        <v>0</v>
      </c>
      <c r="BB63" s="13">
        <f>$I$11*$BB$11</f>
        <v>0</v>
      </c>
      <c r="BC63" s="13">
        <f>$I$11*$BC$11</f>
        <v>0</v>
      </c>
      <c r="BD63" s="13">
        <f>$I$11*$BD$11</f>
        <v>0</v>
      </c>
    </row>
    <row r="64" spans="1:56" ht="11.25" customHeight="1" x14ac:dyDescent="0.25">
      <c r="A64" s="9" t="s">
        <v>58</v>
      </c>
      <c r="B64" s="9" t="s">
        <v>588</v>
      </c>
      <c r="C64" s="9" t="s">
        <v>589</v>
      </c>
      <c r="D64" s="9" t="s">
        <v>590</v>
      </c>
      <c r="E64" s="9" t="s">
        <v>591</v>
      </c>
      <c r="F64" s="9" t="s">
        <v>592</v>
      </c>
      <c r="G64" s="9" t="s">
        <v>595</v>
      </c>
      <c r="L64" s="13">
        <f>$I$12*$L$12</f>
        <v>2.605705032773687E-7</v>
      </c>
      <c r="M64" s="13">
        <f>$I$12*$M$12</f>
        <v>4.4513562127626818E-8</v>
      </c>
      <c r="N64" s="13">
        <f ca="1">$I$12*$N$12</f>
        <v>0</v>
      </c>
      <c r="O64" s="13">
        <f>$I$12*$O$12</f>
        <v>0</v>
      </c>
      <c r="P64" s="13">
        <f>$I$12*$P$12</f>
        <v>0</v>
      </c>
      <c r="Q64" s="13">
        <f>$I$12*$Q$12</f>
        <v>7.4659680035028414E-7</v>
      </c>
      <c r="R64" s="13">
        <f>$I$12*$R$12</f>
        <v>1.4060328828195002E-7</v>
      </c>
      <c r="S64" s="13">
        <f>$I$12*$S$12</f>
        <v>0</v>
      </c>
      <c r="T64" s="13">
        <f>$I$12*$T$12</f>
        <v>0</v>
      </c>
      <c r="U64" s="13">
        <f>$I$12*$U$12</f>
        <v>0</v>
      </c>
      <c r="V64" s="13">
        <f>$I$12*$V$12</f>
        <v>0</v>
      </c>
      <c r="W64" s="13">
        <f>$I$12*$W$12</f>
        <v>0</v>
      </c>
      <c r="X64" s="13">
        <f>$I$12*$X$12</f>
        <v>0</v>
      </c>
      <c r="Y64" s="13">
        <f>$I$12*$Y$12</f>
        <v>0</v>
      </c>
      <c r="Z64" s="13">
        <f>$I$12*$Z$12</f>
        <v>0</v>
      </c>
      <c r="AA64" s="13">
        <f>$I$12*$AA$12</f>
        <v>0</v>
      </c>
      <c r="AB64" s="13">
        <f ca="1">$I$12*$AB$12</f>
        <v>0</v>
      </c>
      <c r="AC64" s="13">
        <f ca="1">$I$12*$AC$12</f>
        <v>0</v>
      </c>
      <c r="AD64" s="13">
        <f>$I$12*$AD$12</f>
        <v>4.8232843462582241E-8</v>
      </c>
      <c r="AE64" s="13">
        <f>$I$12*$AE$12</f>
        <v>0</v>
      </c>
      <c r="AF64" s="13">
        <f ca="1">$I$12*$AF$12</f>
        <v>0</v>
      </c>
      <c r="AG64" s="13">
        <f ca="1">$I$12*$AG$12</f>
        <v>0</v>
      </c>
      <c r="AI64" s="13">
        <f>$I$12*$AI$12</f>
        <v>0</v>
      </c>
      <c r="AJ64" s="13">
        <f>$I$12*$AJ$12</f>
        <v>0</v>
      </c>
      <c r="AK64" s="13">
        <f>$I$12*$AK$12</f>
        <v>0</v>
      </c>
      <c r="AL64" s="13">
        <f>$I$12*$AL$12</f>
        <v>0</v>
      </c>
      <c r="AM64" s="13">
        <f>$I$12*$AM$12</f>
        <v>0</v>
      </c>
      <c r="AN64" s="13">
        <f>$I$12*$AN$12</f>
        <v>0</v>
      </c>
      <c r="AO64" s="13">
        <f>$I$12*$AO$12</f>
        <v>0</v>
      </c>
      <c r="AP64" s="13">
        <f>$I$12*$AP$12</f>
        <v>0</v>
      </c>
      <c r="AQ64" s="13">
        <f>$I$12*$AQ$12</f>
        <v>0</v>
      </c>
      <c r="AR64" s="13">
        <f>$I$12*$AR$12</f>
        <v>0</v>
      </c>
      <c r="AS64" s="13">
        <f>$I$12*$AS$12</f>
        <v>0</v>
      </c>
      <c r="AT64" s="13">
        <f>$I$12*$AT$12</f>
        <v>0</v>
      </c>
      <c r="AU64" s="13">
        <f>$I$12*$AU$12</f>
        <v>0</v>
      </c>
      <c r="AV64" s="13">
        <f>$I$12*$AV$12</f>
        <v>0</v>
      </c>
      <c r="AW64" s="13">
        <f>$I$12*$AW$12</f>
        <v>0</v>
      </c>
      <c r="AX64" s="13">
        <f>$I$12*$AX$12</f>
        <v>0</v>
      </c>
      <c r="AY64" s="13">
        <f>$I$12*$AY$12</f>
        <v>0</v>
      </c>
      <c r="AZ64" s="13">
        <f>$I$12*$AZ$12</f>
        <v>0</v>
      </c>
      <c r="BA64" s="13">
        <f>$I$12*$BA$12</f>
        <v>0</v>
      </c>
      <c r="BB64" s="13">
        <f>$I$12*$BB$12</f>
        <v>0</v>
      </c>
      <c r="BC64" s="13">
        <f>$I$12*$BC$12</f>
        <v>0</v>
      </c>
      <c r="BD64" s="13">
        <f>$I$12*$BD$12</f>
        <v>0</v>
      </c>
    </row>
    <row r="65" spans="1:56" ht="11.25" customHeight="1" x14ac:dyDescent="0.25">
      <c r="A65" s="9" t="s">
        <v>58</v>
      </c>
      <c r="B65" s="9" t="s">
        <v>588</v>
      </c>
      <c r="C65" s="9" t="s">
        <v>589</v>
      </c>
      <c r="D65" s="9" t="s">
        <v>590</v>
      </c>
      <c r="E65" s="9" t="s">
        <v>596</v>
      </c>
      <c r="F65" s="9" t="s">
        <v>597</v>
      </c>
      <c r="G65" s="9" t="s">
        <v>598</v>
      </c>
      <c r="L65" s="13">
        <f>$I$13*$L$13</f>
        <v>0</v>
      </c>
      <c r="M65" s="13">
        <f>$I$13*$M$13</f>
        <v>4.4513562127626818E-8</v>
      </c>
      <c r="N65" s="13">
        <f ca="1">$I$13*$N$13</f>
        <v>0</v>
      </c>
      <c r="O65" s="13">
        <f>$I$13*$O$13</f>
        <v>0</v>
      </c>
      <c r="P65" s="13">
        <f>$I$13*$P$13</f>
        <v>0</v>
      </c>
      <c r="Q65" s="13">
        <f>$I$13*$Q$13</f>
        <v>0</v>
      </c>
      <c r="R65" s="13">
        <f>$I$13*$R$13</f>
        <v>0</v>
      </c>
      <c r="S65" s="13">
        <f>$I$13*$S$13</f>
        <v>0</v>
      </c>
      <c r="T65" s="13">
        <f>$I$13*$T$13</f>
        <v>0</v>
      </c>
      <c r="U65" s="13">
        <f>$I$13*$U$13</f>
        <v>0</v>
      </c>
      <c r="V65" s="13">
        <f>$I$13*$V$13</f>
        <v>0</v>
      </c>
      <c r="W65" s="13">
        <f>$I$13*$W$13</f>
        <v>0</v>
      </c>
      <c r="X65" s="13">
        <f>$I$13*$X$13</f>
        <v>1.1571220953737027E-5</v>
      </c>
      <c r="Y65" s="13">
        <f>$I$13*$Y$13</f>
        <v>0</v>
      </c>
      <c r="Z65" s="13">
        <f>$I$13*$Z$13</f>
        <v>0</v>
      </c>
      <c r="AA65" s="13">
        <f>$I$13*$AA$13</f>
        <v>1.0434750194992233E-5</v>
      </c>
      <c r="AB65" s="13">
        <f ca="1">$I$13*$AB$13</f>
        <v>0</v>
      </c>
      <c r="AC65" s="13">
        <f ca="1">$I$13*$AC$13</f>
        <v>0</v>
      </c>
      <c r="AD65" s="13">
        <f>$I$13*$AD$13</f>
        <v>4.8232843462582241E-8</v>
      </c>
      <c r="AE65" s="13">
        <f>$I$13*$AE$13</f>
        <v>0</v>
      </c>
      <c r="AF65" s="13">
        <f ca="1">$I$13*$AF$13</f>
        <v>0</v>
      </c>
      <c r="AG65" s="13">
        <f ca="1">$I$13*$AG$13</f>
        <v>0</v>
      </c>
      <c r="AI65" s="13">
        <f>$I$13*$AI$13</f>
        <v>0</v>
      </c>
      <c r="AJ65" s="13">
        <f>$I$13*$AJ$13</f>
        <v>0</v>
      </c>
      <c r="AK65" s="13">
        <f>$I$13*$AK$13</f>
        <v>0</v>
      </c>
      <c r="AL65" s="13">
        <f>$I$13*$AL$13</f>
        <v>0</v>
      </c>
      <c r="AM65" s="13">
        <f>$I$13*$AM$13</f>
        <v>0</v>
      </c>
      <c r="AN65" s="13">
        <f>$I$13*$AN$13</f>
        <v>0</v>
      </c>
      <c r="AO65" s="13">
        <f>$I$13*$AO$13</f>
        <v>0</v>
      </c>
      <c r="AP65" s="13">
        <f>$I$13*$AP$13</f>
        <v>0</v>
      </c>
      <c r="AQ65" s="13">
        <f>$I$13*$AQ$13</f>
        <v>0</v>
      </c>
      <c r="AR65" s="13">
        <f>$I$13*$AR$13</f>
        <v>0</v>
      </c>
      <c r="AS65" s="13">
        <f>$I$13*$AS$13</f>
        <v>0</v>
      </c>
      <c r="AT65" s="13">
        <f>$I$13*$AT$13</f>
        <v>0</v>
      </c>
      <c r="AU65" s="13">
        <f>$I$13*$AU$13</f>
        <v>0</v>
      </c>
      <c r="AV65" s="13">
        <f>$I$13*$AV$13</f>
        <v>0</v>
      </c>
      <c r="AW65" s="13">
        <f>$I$13*$AW$13</f>
        <v>0</v>
      </c>
      <c r="AX65" s="13">
        <f>$I$13*$AX$13</f>
        <v>0</v>
      </c>
      <c r="AY65" s="13">
        <f>$I$13*$AY$13</f>
        <v>0</v>
      </c>
      <c r="AZ65" s="13">
        <f>$I$13*$AZ$13</f>
        <v>0</v>
      </c>
      <c r="BA65" s="13">
        <f>$I$13*$BA$13</f>
        <v>0</v>
      </c>
      <c r="BB65" s="13">
        <f>$I$13*$BB$13</f>
        <v>0</v>
      </c>
      <c r="BC65" s="13">
        <f>$I$13*$BC$13</f>
        <v>0</v>
      </c>
      <c r="BD65" s="13">
        <f>$I$13*$BD$13</f>
        <v>0</v>
      </c>
    </row>
    <row r="66" spans="1:56" ht="11.25" customHeight="1" x14ac:dyDescent="0.25">
      <c r="A66" s="9" t="s">
        <v>58</v>
      </c>
      <c r="B66" s="9" t="s">
        <v>588</v>
      </c>
      <c r="C66" s="9" t="s">
        <v>589</v>
      </c>
      <c r="D66" s="9" t="s">
        <v>590</v>
      </c>
      <c r="E66" s="9" t="s">
        <v>596</v>
      </c>
      <c r="F66" s="9" t="s">
        <v>597</v>
      </c>
      <c r="G66" s="9" t="s">
        <v>599</v>
      </c>
      <c r="L66" s="13">
        <f>$I$14*$L$14</f>
        <v>0</v>
      </c>
      <c r="M66" s="13">
        <f>$I$14*$M$14</f>
        <v>4.4513562127626818E-8</v>
      </c>
      <c r="N66" s="13">
        <f ca="1">$I$14*$N$14</f>
        <v>0</v>
      </c>
      <c r="O66" s="13">
        <f>$I$14*$O$14</f>
        <v>0</v>
      </c>
      <c r="P66" s="13">
        <f>$I$14*$P$14</f>
        <v>0</v>
      </c>
      <c r="Q66" s="13">
        <f>$I$14*$Q$14</f>
        <v>0</v>
      </c>
      <c r="R66" s="13">
        <f>$I$14*$R$14</f>
        <v>0</v>
      </c>
      <c r="S66" s="13">
        <f>$I$14*$S$14</f>
        <v>0</v>
      </c>
      <c r="T66" s="13">
        <f>$I$14*$T$14</f>
        <v>0</v>
      </c>
      <c r="U66" s="13">
        <f>$I$14*$U$14</f>
        <v>0</v>
      </c>
      <c r="V66" s="13">
        <f>$I$14*$V$14</f>
        <v>0</v>
      </c>
      <c r="W66" s="13">
        <f>$I$14*$W$14</f>
        <v>0</v>
      </c>
      <c r="X66" s="13">
        <f>$I$14*$X$14</f>
        <v>0</v>
      </c>
      <c r="Y66" s="13">
        <f>$I$14*$Y$14</f>
        <v>0</v>
      </c>
      <c r="Z66" s="13">
        <f>$I$14*$Z$14</f>
        <v>0</v>
      </c>
      <c r="AA66" s="13">
        <f>$I$14*$AA$14</f>
        <v>0</v>
      </c>
      <c r="AB66" s="13">
        <f ca="1">$I$14*$AB$14</f>
        <v>0</v>
      </c>
      <c r="AC66" s="13">
        <f ca="1">$I$14*$AC$14</f>
        <v>0</v>
      </c>
      <c r="AD66" s="13">
        <f>$I$14*$AD$14</f>
        <v>4.8232843462582241E-8</v>
      </c>
      <c r="AE66" s="13">
        <f>$I$14*$AE$14</f>
        <v>0</v>
      </c>
      <c r="AF66" s="13">
        <f ca="1">$I$14*$AF$14</f>
        <v>0</v>
      </c>
      <c r="AG66" s="13">
        <f ca="1">$I$14*$AG$14</f>
        <v>0</v>
      </c>
      <c r="AI66" s="13">
        <f>$I$14*$AI$14</f>
        <v>0</v>
      </c>
      <c r="AJ66" s="13">
        <f>$I$14*$AJ$14</f>
        <v>0</v>
      </c>
      <c r="AK66" s="13">
        <f>$I$14*$AK$14</f>
        <v>0</v>
      </c>
      <c r="AL66" s="13">
        <f>$I$14*$AL$14</f>
        <v>0</v>
      </c>
      <c r="AM66" s="13">
        <f>$I$14*$AM$14</f>
        <v>0</v>
      </c>
      <c r="AN66" s="13">
        <f>$I$14*$AN$14</f>
        <v>0</v>
      </c>
      <c r="AO66" s="13">
        <f>$I$14*$AO$14</f>
        <v>0</v>
      </c>
      <c r="AP66" s="13">
        <f>$I$14*$AP$14</f>
        <v>0</v>
      </c>
      <c r="AQ66" s="13">
        <f>$I$14*$AQ$14</f>
        <v>0</v>
      </c>
      <c r="AR66" s="13">
        <f>$I$14*$AR$14</f>
        <v>0</v>
      </c>
      <c r="AS66" s="13">
        <f>$I$14*$AS$14</f>
        <v>0</v>
      </c>
      <c r="AT66" s="13">
        <f>$I$14*$AT$14</f>
        <v>0</v>
      </c>
      <c r="AU66" s="13">
        <f>$I$14*$AU$14</f>
        <v>0</v>
      </c>
      <c r="AV66" s="13">
        <f>$I$14*$AV$14</f>
        <v>0</v>
      </c>
      <c r="AW66" s="13">
        <f>$I$14*$AW$14</f>
        <v>0</v>
      </c>
      <c r="AX66" s="13">
        <f>$I$14*$AX$14</f>
        <v>0</v>
      </c>
      <c r="AY66" s="13">
        <f>$I$14*$AY$14</f>
        <v>0</v>
      </c>
      <c r="AZ66" s="13">
        <f>$I$14*$AZ$14</f>
        <v>0</v>
      </c>
      <c r="BA66" s="13">
        <f>$I$14*$BA$14</f>
        <v>0</v>
      </c>
      <c r="BB66" s="13">
        <f>$I$14*$BB$14</f>
        <v>0</v>
      </c>
      <c r="BC66" s="13">
        <f>$I$14*$BC$14</f>
        <v>0</v>
      </c>
      <c r="BD66" s="13">
        <f>$I$14*$BD$14</f>
        <v>0</v>
      </c>
    </row>
    <row r="67" spans="1:56" ht="11.25" customHeight="1" x14ac:dyDescent="0.25">
      <c r="A67" s="9" t="s">
        <v>71</v>
      </c>
      <c r="B67" s="9" t="s">
        <v>600</v>
      </c>
      <c r="C67" s="9" t="s">
        <v>601</v>
      </c>
      <c r="D67" s="9" t="s">
        <v>602</v>
      </c>
      <c r="E67" s="9" t="s">
        <v>603</v>
      </c>
      <c r="F67" s="9" t="s">
        <v>604</v>
      </c>
      <c r="G67" s="9" t="s">
        <v>605</v>
      </c>
      <c r="L67" s="13">
        <f>$I$15*$L$15</f>
        <v>0</v>
      </c>
      <c r="M67" s="13">
        <f>$I$15*$M$15</f>
        <v>1.0392256682814458E-10</v>
      </c>
      <c r="N67" s="13">
        <f ca="1">$I$15*$N$15</f>
        <v>0</v>
      </c>
      <c r="O67" s="13">
        <f>$I$15*$O$15</f>
        <v>0</v>
      </c>
      <c r="P67" s="13">
        <f>$I$15*$P$15</f>
        <v>0</v>
      </c>
      <c r="Q67" s="13">
        <f>$I$15*$Q$15</f>
        <v>0</v>
      </c>
      <c r="R67" s="13">
        <f>$I$15*$R$15</f>
        <v>0</v>
      </c>
      <c r="S67" s="13">
        <f>$I$15*$S$15</f>
        <v>0</v>
      </c>
      <c r="T67" s="13">
        <f>$I$15*$T$15</f>
        <v>0</v>
      </c>
      <c r="U67" s="13">
        <f>$I$15*$U$15</f>
        <v>0</v>
      </c>
      <c r="V67" s="13">
        <f>$I$15*$V$15</f>
        <v>0</v>
      </c>
      <c r="W67" s="13">
        <f>$I$15*$W$15</f>
        <v>0</v>
      </c>
      <c r="X67" s="13">
        <f>$I$15*$X$15</f>
        <v>0</v>
      </c>
      <c r="Y67" s="13">
        <f>$I$15*$Y$15</f>
        <v>0</v>
      </c>
      <c r="Z67" s="13">
        <f>$I$15*$Z$15</f>
        <v>0</v>
      </c>
      <c r="AA67" s="13">
        <f>$I$15*$AA$15</f>
        <v>5.6576417349422313E-8</v>
      </c>
      <c r="AB67" s="13">
        <f ca="1">$I$15*$AB$15</f>
        <v>0</v>
      </c>
      <c r="AC67" s="13">
        <f ca="1">$I$15*$AC$15</f>
        <v>0</v>
      </c>
      <c r="AD67" s="13">
        <f>$I$15*$AD$15</f>
        <v>0</v>
      </c>
      <c r="AE67" s="13">
        <f>$I$15*$AE$15</f>
        <v>0</v>
      </c>
      <c r="AF67" s="13">
        <f ca="1">$I$15*$AF$15</f>
        <v>0</v>
      </c>
      <c r="AG67" s="13">
        <f ca="1">$I$15*$AG$15</f>
        <v>0</v>
      </c>
      <c r="AI67" s="13">
        <f>$I$15*$AI$15</f>
        <v>0</v>
      </c>
      <c r="AJ67" s="13">
        <f>$I$15*$AJ$15</f>
        <v>8.4672269474349205E-11</v>
      </c>
      <c r="AK67" s="13">
        <f>$I$15*$AK$15</f>
        <v>0</v>
      </c>
      <c r="AL67" s="13">
        <f>$I$15*$AL$15</f>
        <v>0</v>
      </c>
      <c r="AM67" s="13">
        <f>$I$15*$AM$15</f>
        <v>0</v>
      </c>
      <c r="AN67" s="13">
        <f>$I$15*$AN$15</f>
        <v>0</v>
      </c>
      <c r="AO67" s="13">
        <f>$I$15*$AO$15</f>
        <v>0</v>
      </c>
      <c r="AP67" s="13">
        <f>$I$15*$AP$15</f>
        <v>0</v>
      </c>
      <c r="AQ67" s="13">
        <f>$I$15*$AQ$15</f>
        <v>0</v>
      </c>
      <c r="AR67" s="13">
        <f>$I$15*$AR$15</f>
        <v>0</v>
      </c>
      <c r="AS67" s="13">
        <f>$I$15*$AS$15</f>
        <v>0</v>
      </c>
      <c r="AT67" s="13">
        <f>$I$15*$AT$15</f>
        <v>0</v>
      </c>
      <c r="AU67" s="13">
        <f>$I$15*$AU$15</f>
        <v>0</v>
      </c>
      <c r="AV67" s="13">
        <f>$I$15*$AV$15</f>
        <v>0</v>
      </c>
      <c r="AW67" s="13">
        <f>$I$15*$AW$15</f>
        <v>0</v>
      </c>
      <c r="AX67" s="13">
        <f>$I$15*$AX$15</f>
        <v>4.4115513662223702E-8</v>
      </c>
      <c r="AY67" s="13">
        <f>$I$15*$AY$15</f>
        <v>0</v>
      </c>
      <c r="AZ67" s="13">
        <f>$I$15*$AZ$15</f>
        <v>0</v>
      </c>
      <c r="BA67" s="13">
        <f>$I$15*$BA$15</f>
        <v>0</v>
      </c>
      <c r="BB67" s="13">
        <f>$I$15*$BB$15</f>
        <v>0</v>
      </c>
      <c r="BC67" s="13">
        <f>$I$15*$BC$15</f>
        <v>0</v>
      </c>
      <c r="BD67" s="13">
        <f>$I$15*$BD$15</f>
        <v>0</v>
      </c>
    </row>
    <row r="68" spans="1:56" ht="11.25" customHeight="1" x14ac:dyDescent="0.25">
      <c r="A68" s="9" t="s">
        <v>71</v>
      </c>
      <c r="B68" s="9" t="s">
        <v>600</v>
      </c>
      <c r="C68" s="9" t="s">
        <v>601</v>
      </c>
      <c r="D68" s="9" t="s">
        <v>602</v>
      </c>
      <c r="E68" s="9" t="s">
        <v>606</v>
      </c>
      <c r="F68" s="9" t="s">
        <v>607</v>
      </c>
      <c r="G68" s="9" t="s">
        <v>608</v>
      </c>
      <c r="L68" s="13">
        <f>$I$16*$L$16</f>
        <v>0</v>
      </c>
      <c r="M68" s="13">
        <f>$I$16*$M$16</f>
        <v>1.0392256682814458E-10</v>
      </c>
      <c r="N68" s="13">
        <f ca="1">$I$16*$N$16</f>
        <v>0</v>
      </c>
      <c r="O68" s="13">
        <f>$I$16*$O$16</f>
        <v>0</v>
      </c>
      <c r="P68" s="13">
        <f>$I$16*$P$16</f>
        <v>0</v>
      </c>
      <c r="Q68" s="13">
        <f>$I$16*$Q$16</f>
        <v>0</v>
      </c>
      <c r="R68" s="13">
        <f>$I$16*$R$16</f>
        <v>0</v>
      </c>
      <c r="S68" s="13">
        <f>$I$16*$S$16</f>
        <v>0</v>
      </c>
      <c r="T68" s="13">
        <f>$I$16*$T$16</f>
        <v>0</v>
      </c>
      <c r="U68" s="13">
        <f>$I$16*$U$16</f>
        <v>0</v>
      </c>
      <c r="V68" s="13">
        <f>$I$16*$V$16</f>
        <v>0</v>
      </c>
      <c r="W68" s="13">
        <f>$I$16*$W$16</f>
        <v>0</v>
      </c>
      <c r="X68" s="13">
        <f>$I$16*$X$16</f>
        <v>0</v>
      </c>
      <c r="Y68" s="13">
        <f>$I$16*$Y$16</f>
        <v>0</v>
      </c>
      <c r="Z68" s="13">
        <f>$I$16*$Z$16</f>
        <v>0</v>
      </c>
      <c r="AA68" s="13">
        <f>$I$16*$AA$16</f>
        <v>1.1510664023079112E-7</v>
      </c>
      <c r="AB68" s="13">
        <f ca="1">$I$16*$AB$16</f>
        <v>0</v>
      </c>
      <c r="AC68" s="13">
        <f ca="1">$I$16*$AC$16</f>
        <v>0</v>
      </c>
      <c r="AD68" s="13">
        <f>$I$16*$AD$16</f>
        <v>0</v>
      </c>
      <c r="AE68" s="13">
        <f>$I$16*$AE$16</f>
        <v>0</v>
      </c>
      <c r="AF68" s="13">
        <f ca="1">$I$16*$AF$16</f>
        <v>0</v>
      </c>
      <c r="AG68" s="13">
        <f ca="1">$I$16*$AG$16</f>
        <v>0</v>
      </c>
      <c r="AI68" s="13">
        <f>$I$16*$AI$16</f>
        <v>0</v>
      </c>
      <c r="AJ68" s="13">
        <f>$I$16*$AJ$16</f>
        <v>8.4672269474349205E-11</v>
      </c>
      <c r="AK68" s="13">
        <f>$I$16*$AK$16</f>
        <v>0</v>
      </c>
      <c r="AL68" s="13">
        <f>$I$16*$AL$16</f>
        <v>0</v>
      </c>
      <c r="AM68" s="13">
        <f>$I$16*$AM$16</f>
        <v>0</v>
      </c>
      <c r="AN68" s="13">
        <f>$I$16*$AN$16</f>
        <v>0</v>
      </c>
      <c r="AO68" s="13">
        <f>$I$16*$AO$16</f>
        <v>0</v>
      </c>
      <c r="AP68" s="13">
        <f>$I$16*$AP$16</f>
        <v>0</v>
      </c>
      <c r="AQ68" s="13">
        <f>$I$16*$AQ$16</f>
        <v>0</v>
      </c>
      <c r="AR68" s="13">
        <f>$I$16*$AR$16</f>
        <v>0</v>
      </c>
      <c r="AS68" s="13">
        <f>$I$16*$AS$16</f>
        <v>0</v>
      </c>
      <c r="AT68" s="13">
        <f>$I$16*$AT$16</f>
        <v>0</v>
      </c>
      <c r="AU68" s="13">
        <f>$I$16*$AU$16</f>
        <v>0</v>
      </c>
      <c r="AV68" s="13">
        <f>$I$16*$AV$16</f>
        <v>0</v>
      </c>
      <c r="AW68" s="13">
        <f>$I$16*$AW$16</f>
        <v>0</v>
      </c>
      <c r="AX68" s="13">
        <f>$I$16*$AX$16</f>
        <v>8.9754591136083808E-8</v>
      </c>
      <c r="AY68" s="13">
        <f>$I$16*$AY$16</f>
        <v>0</v>
      </c>
      <c r="AZ68" s="13">
        <f>$I$16*$AZ$16</f>
        <v>0</v>
      </c>
      <c r="BA68" s="13">
        <f>$I$16*$BA$16</f>
        <v>0</v>
      </c>
      <c r="BB68" s="13">
        <f>$I$16*$BB$16</f>
        <v>0</v>
      </c>
      <c r="BC68" s="13">
        <f>$I$16*$BC$16</f>
        <v>0</v>
      </c>
      <c r="BD68" s="13">
        <f>$I$16*$BD$16</f>
        <v>0</v>
      </c>
    </row>
    <row r="69" spans="1:56" ht="11.25" customHeight="1" x14ac:dyDescent="0.25">
      <c r="A69" s="9" t="s">
        <v>22</v>
      </c>
      <c r="B69" s="9" t="s">
        <v>609</v>
      </c>
      <c r="C69" s="9" t="s">
        <v>610</v>
      </c>
      <c r="D69" s="9" t="s">
        <v>611</v>
      </c>
      <c r="E69" s="9" t="s">
        <v>612</v>
      </c>
      <c r="F69" s="9" t="s">
        <v>613</v>
      </c>
      <c r="G69" s="9" t="s">
        <v>614</v>
      </c>
      <c r="L69" s="13">
        <f>$I$17*$L$17</f>
        <v>0</v>
      </c>
      <c r="M69" s="13">
        <f>$I$17*$M$17</f>
        <v>0</v>
      </c>
      <c r="N69" s="13">
        <f ca="1">$I$17*$N$17</f>
        <v>0</v>
      </c>
      <c r="O69" s="13">
        <f>$I$17*$O$17</f>
        <v>0</v>
      </c>
      <c r="P69" s="13">
        <f>$I$17*$P$17</f>
        <v>0</v>
      </c>
      <c r="Q69" s="13">
        <f>$I$17*$Q$17</f>
        <v>0</v>
      </c>
      <c r="R69" s="13">
        <f>$I$17*$R$17</f>
        <v>0</v>
      </c>
      <c r="S69" s="13">
        <f>$I$17*$S$17</f>
        <v>0</v>
      </c>
      <c r="T69" s="13">
        <f>$I$17*$T$17</f>
        <v>0</v>
      </c>
      <c r="U69" s="13">
        <f>$I$17*$U$17</f>
        <v>0</v>
      </c>
      <c r="V69" s="13">
        <f>$I$17*$V$17</f>
        <v>0</v>
      </c>
      <c r="W69" s="13">
        <f>$I$17*$W$17</f>
        <v>0</v>
      </c>
      <c r="X69" s="13">
        <f>$I$17*$X$17</f>
        <v>0</v>
      </c>
      <c r="Y69" s="13">
        <f>$I$17*$Y$17</f>
        <v>0</v>
      </c>
      <c r="Z69" s="13">
        <f>$I$17*$Z$17</f>
        <v>0</v>
      </c>
      <c r="AA69" s="13">
        <f>$I$17*$AA$17</f>
        <v>0</v>
      </c>
      <c r="AB69" s="13">
        <f ca="1">$I$17*$AB$17</f>
        <v>0</v>
      </c>
      <c r="AC69" s="13">
        <f ca="1">$I$17*$AC$17</f>
        <v>0</v>
      </c>
      <c r="AD69" s="13">
        <f>$I$17*$AD$17</f>
        <v>0</v>
      </c>
      <c r="AE69" s="13">
        <f>$I$17*$AE$17</f>
        <v>0</v>
      </c>
      <c r="AF69" s="13">
        <f ca="1">$I$17*$AF$17</f>
        <v>0</v>
      </c>
      <c r="AG69" s="13">
        <f ca="1">$I$17*$AG$17</f>
        <v>0</v>
      </c>
      <c r="AI69" s="13">
        <f>$I$17*$AI$17</f>
        <v>0</v>
      </c>
      <c r="AJ69" s="13">
        <f>$I$17*$AJ$17</f>
        <v>0</v>
      </c>
      <c r="AK69" s="13">
        <f>$I$17*$AK$17</f>
        <v>0</v>
      </c>
      <c r="AL69" s="13">
        <f>$I$17*$AL$17</f>
        <v>0</v>
      </c>
      <c r="AM69" s="13">
        <f>$I$17*$AM$17</f>
        <v>0</v>
      </c>
      <c r="AN69" s="13">
        <f>$I$17*$AN$17</f>
        <v>0</v>
      </c>
      <c r="AO69" s="13">
        <f>$I$17*$AO$17</f>
        <v>0</v>
      </c>
      <c r="AP69" s="13">
        <f>$I$17*$AP$17</f>
        <v>0</v>
      </c>
      <c r="AQ69" s="13">
        <f>$I$17*$AQ$17</f>
        <v>0</v>
      </c>
      <c r="AR69" s="13">
        <f>$I$17*$AR$17</f>
        <v>0</v>
      </c>
      <c r="AS69" s="13">
        <f>$I$17*$AS$17</f>
        <v>0</v>
      </c>
      <c r="AT69" s="13">
        <f>$I$17*$AT$17</f>
        <v>0</v>
      </c>
      <c r="AU69" s="13">
        <f>$I$17*$AU$17</f>
        <v>0</v>
      </c>
      <c r="AV69" s="13">
        <f>$I$17*$AV$17</f>
        <v>0</v>
      </c>
      <c r="AW69" s="13">
        <f>$I$17*$AW$17</f>
        <v>0</v>
      </c>
      <c r="AX69" s="13">
        <f>$I$17*$AX$17</f>
        <v>0</v>
      </c>
      <c r="AY69" s="13">
        <f>$I$17*$AY$17</f>
        <v>0</v>
      </c>
      <c r="AZ69" s="13">
        <f>$I$17*$AZ$17</f>
        <v>0</v>
      </c>
      <c r="BA69" s="13">
        <f>$I$17*$BA$17</f>
        <v>0</v>
      </c>
      <c r="BB69" s="13">
        <f>$I$17*$BB$17</f>
        <v>0</v>
      </c>
      <c r="BC69" s="13">
        <f>$I$17*$BC$17</f>
        <v>0</v>
      </c>
      <c r="BD69" s="13">
        <f>$I$17*$BD$17</f>
        <v>0</v>
      </c>
    </row>
    <row r="70" spans="1:56" ht="11.25" customHeight="1" x14ac:dyDescent="0.25">
      <c r="A70" s="9" t="s">
        <v>22</v>
      </c>
      <c r="B70" s="9" t="s">
        <v>609</v>
      </c>
      <c r="C70" s="9" t="s">
        <v>610</v>
      </c>
      <c r="D70" s="9" t="s">
        <v>611</v>
      </c>
      <c r="E70" s="9" t="s">
        <v>612</v>
      </c>
      <c r="F70" s="9" t="s">
        <v>613</v>
      </c>
      <c r="G70" s="9" t="s">
        <v>615</v>
      </c>
      <c r="L70" s="13">
        <f>$I$18*$L$18</f>
        <v>0</v>
      </c>
      <c r="M70" s="13">
        <f>$I$18*$M$18</f>
        <v>0</v>
      </c>
      <c r="N70" s="13">
        <f ca="1">$I$18*$N$18</f>
        <v>0</v>
      </c>
      <c r="O70" s="13">
        <f>$I$18*$O$18</f>
        <v>0</v>
      </c>
      <c r="P70" s="13">
        <f>$I$18*$P$18</f>
        <v>0</v>
      </c>
      <c r="Q70" s="13">
        <f>$I$18*$Q$18</f>
        <v>0</v>
      </c>
      <c r="R70" s="13">
        <f>$I$18*$R$18</f>
        <v>0</v>
      </c>
      <c r="S70" s="13">
        <f>$I$18*$S$18</f>
        <v>0</v>
      </c>
      <c r="T70" s="13">
        <f>$I$18*$T$18</f>
        <v>0</v>
      </c>
      <c r="U70" s="13">
        <f>$I$18*$U$18</f>
        <v>0</v>
      </c>
      <c r="V70" s="13">
        <f>$I$18*$V$18</f>
        <v>0</v>
      </c>
      <c r="W70" s="13">
        <f>$I$18*$W$18</f>
        <v>0</v>
      </c>
      <c r="X70" s="13">
        <f>$I$18*$X$18</f>
        <v>0</v>
      </c>
      <c r="Y70" s="13">
        <f>$I$18*$Y$18</f>
        <v>0</v>
      </c>
      <c r="Z70" s="13">
        <f>$I$18*$Z$18</f>
        <v>0</v>
      </c>
      <c r="AA70" s="13">
        <f>$I$18*$AA$18</f>
        <v>0</v>
      </c>
      <c r="AB70" s="13">
        <f ca="1">$I$18*$AB$18</f>
        <v>0</v>
      </c>
      <c r="AC70" s="13">
        <f ca="1">$I$18*$AC$18</f>
        <v>0</v>
      </c>
      <c r="AD70" s="13">
        <f>$I$18*$AD$18</f>
        <v>0</v>
      </c>
      <c r="AE70" s="13">
        <f>$I$18*$AE$18</f>
        <v>0</v>
      </c>
      <c r="AF70" s="13">
        <f ca="1">$I$18*$AF$18</f>
        <v>0</v>
      </c>
      <c r="AG70" s="13">
        <f ca="1">$I$18*$AG$18</f>
        <v>0</v>
      </c>
      <c r="AI70" s="13">
        <f>$I$18*$AI$18</f>
        <v>0</v>
      </c>
      <c r="AJ70" s="13">
        <f>$I$18*$AJ$18</f>
        <v>0</v>
      </c>
      <c r="AK70" s="13">
        <f>$I$18*$AK$18</f>
        <v>0</v>
      </c>
      <c r="AL70" s="13">
        <f>$I$18*$AL$18</f>
        <v>0</v>
      </c>
      <c r="AM70" s="13">
        <f>$I$18*$AM$18</f>
        <v>0</v>
      </c>
      <c r="AN70" s="13">
        <f>$I$18*$AN$18</f>
        <v>0</v>
      </c>
      <c r="AO70" s="13">
        <f>$I$18*$AO$18</f>
        <v>0</v>
      </c>
      <c r="AP70" s="13">
        <f>$I$18*$AP$18</f>
        <v>0</v>
      </c>
      <c r="AQ70" s="13">
        <f>$I$18*$AQ$18</f>
        <v>0</v>
      </c>
      <c r="AR70" s="13">
        <f>$I$18*$AR$18</f>
        <v>0</v>
      </c>
      <c r="AS70" s="13">
        <f>$I$18*$AS$18</f>
        <v>0</v>
      </c>
      <c r="AT70" s="13">
        <f>$I$18*$AT$18</f>
        <v>0</v>
      </c>
      <c r="AU70" s="13">
        <f>$I$18*$AU$18</f>
        <v>0</v>
      </c>
      <c r="AV70" s="13">
        <f>$I$18*$AV$18</f>
        <v>0</v>
      </c>
      <c r="AW70" s="13">
        <f>$I$18*$AW$18</f>
        <v>0</v>
      </c>
      <c r="AX70" s="13">
        <f>$I$18*$AX$18</f>
        <v>0</v>
      </c>
      <c r="AY70" s="13">
        <f>$I$18*$AY$18</f>
        <v>0</v>
      </c>
      <c r="AZ70" s="13">
        <f>$I$18*$AZ$18</f>
        <v>0</v>
      </c>
      <c r="BA70" s="13">
        <f>$I$18*$BA$18</f>
        <v>0</v>
      </c>
      <c r="BB70" s="13">
        <f>$I$18*$BB$18</f>
        <v>0</v>
      </c>
      <c r="BC70" s="13">
        <f>$I$18*$BC$18</f>
        <v>0</v>
      </c>
      <c r="BD70" s="13">
        <f>$I$18*$BD$18</f>
        <v>0</v>
      </c>
    </row>
    <row r="71" spans="1:56" ht="11.25" customHeight="1" x14ac:dyDescent="0.25">
      <c r="A71" s="9" t="s">
        <v>22</v>
      </c>
      <c r="B71" s="9" t="s">
        <v>609</v>
      </c>
      <c r="C71" s="9" t="s">
        <v>610</v>
      </c>
      <c r="D71" s="9" t="s">
        <v>611</v>
      </c>
      <c r="E71" s="9" t="s">
        <v>612</v>
      </c>
      <c r="F71" s="9" t="s">
        <v>613</v>
      </c>
      <c r="G71" s="9" t="s">
        <v>616</v>
      </c>
      <c r="L71" s="13">
        <f>$I$19*$L$19</f>
        <v>0</v>
      </c>
      <c r="M71" s="13">
        <f>$I$19*$M$19</f>
        <v>0</v>
      </c>
      <c r="N71" s="13">
        <f ca="1">$I$19*$N$19</f>
        <v>0</v>
      </c>
      <c r="O71" s="13">
        <f>$I$19*$O$19</f>
        <v>0</v>
      </c>
      <c r="P71" s="13">
        <f>$I$19*$P$19</f>
        <v>0</v>
      </c>
      <c r="Q71" s="13">
        <f>$I$19*$Q$19</f>
        <v>0</v>
      </c>
      <c r="R71" s="13">
        <f>$I$19*$R$19</f>
        <v>0</v>
      </c>
      <c r="S71" s="13">
        <f>$I$19*$S$19</f>
        <v>0</v>
      </c>
      <c r="T71" s="13">
        <f>$I$19*$T$19</f>
        <v>0</v>
      </c>
      <c r="U71" s="13">
        <f>$I$19*$U$19</f>
        <v>0</v>
      </c>
      <c r="V71" s="13">
        <f>$I$19*$V$19</f>
        <v>0</v>
      </c>
      <c r="W71" s="13">
        <f>$I$19*$W$19</f>
        <v>0</v>
      </c>
      <c r="X71" s="13">
        <f>$I$19*$X$19</f>
        <v>0</v>
      </c>
      <c r="Y71" s="13">
        <f>$I$19*$Y$19</f>
        <v>0</v>
      </c>
      <c r="Z71" s="13">
        <f>$I$19*$Z$19</f>
        <v>0</v>
      </c>
      <c r="AA71" s="13">
        <f>$I$19*$AA$19</f>
        <v>0</v>
      </c>
      <c r="AB71" s="13">
        <f ca="1">$I$19*$AB$19</f>
        <v>0</v>
      </c>
      <c r="AC71" s="13">
        <f ca="1">$I$19*$AC$19</f>
        <v>0</v>
      </c>
      <c r="AD71" s="13">
        <f>$I$19*$AD$19</f>
        <v>0</v>
      </c>
      <c r="AE71" s="13">
        <f>$I$19*$AE$19</f>
        <v>0</v>
      </c>
      <c r="AF71" s="13">
        <f ca="1">$I$19*$AF$19</f>
        <v>0</v>
      </c>
      <c r="AG71" s="13">
        <f ca="1">$I$19*$AG$19</f>
        <v>0</v>
      </c>
      <c r="AI71" s="13">
        <f>$I$19*$AI$19</f>
        <v>0</v>
      </c>
      <c r="AJ71" s="13">
        <f>$I$19*$AJ$19</f>
        <v>0</v>
      </c>
      <c r="AK71" s="13">
        <f>$I$19*$AK$19</f>
        <v>0</v>
      </c>
      <c r="AL71" s="13">
        <f>$I$19*$AL$19</f>
        <v>0</v>
      </c>
      <c r="AM71" s="13">
        <f>$I$19*$AM$19</f>
        <v>0</v>
      </c>
      <c r="AN71" s="13">
        <f>$I$19*$AN$19</f>
        <v>0</v>
      </c>
      <c r="AO71" s="13">
        <f>$I$19*$AO$19</f>
        <v>0</v>
      </c>
      <c r="AP71" s="13">
        <f>$I$19*$AP$19</f>
        <v>0</v>
      </c>
      <c r="AQ71" s="13">
        <f>$I$19*$AQ$19</f>
        <v>0</v>
      </c>
      <c r="AR71" s="13">
        <f>$I$19*$AR$19</f>
        <v>0</v>
      </c>
      <c r="AS71" s="13">
        <f>$I$19*$AS$19</f>
        <v>0</v>
      </c>
      <c r="AT71" s="13">
        <f>$I$19*$AT$19</f>
        <v>0</v>
      </c>
      <c r="AU71" s="13">
        <f>$I$19*$AU$19</f>
        <v>0</v>
      </c>
      <c r="AV71" s="13">
        <f>$I$19*$AV$19</f>
        <v>0</v>
      </c>
      <c r="AW71" s="13">
        <f>$I$19*$AW$19</f>
        <v>0</v>
      </c>
      <c r="AX71" s="13">
        <f>$I$19*$AX$19</f>
        <v>0</v>
      </c>
      <c r="AY71" s="13">
        <f>$I$19*$AY$19</f>
        <v>0</v>
      </c>
      <c r="AZ71" s="13">
        <f>$I$19*$AZ$19</f>
        <v>0</v>
      </c>
      <c r="BA71" s="13">
        <f>$I$19*$BA$19</f>
        <v>0</v>
      </c>
      <c r="BB71" s="13">
        <f>$I$19*$BB$19</f>
        <v>0</v>
      </c>
      <c r="BC71" s="13">
        <f>$I$19*$BC$19</f>
        <v>0</v>
      </c>
      <c r="BD71" s="13">
        <f>$I$19*$BD$19</f>
        <v>0</v>
      </c>
    </row>
    <row r="72" spans="1:56" ht="11.25" customHeight="1" x14ac:dyDescent="0.25">
      <c r="A72" s="9" t="s">
        <v>22</v>
      </c>
      <c r="B72" s="9" t="s">
        <v>617</v>
      </c>
      <c r="C72" s="9" t="s">
        <v>618</v>
      </c>
      <c r="D72" s="9" t="s">
        <v>619</v>
      </c>
      <c r="E72" s="9" t="s">
        <v>620</v>
      </c>
      <c r="F72" s="9" t="s">
        <v>621</v>
      </c>
      <c r="G72" s="9" t="s">
        <v>622</v>
      </c>
      <c r="L72" s="13">
        <f>$I$20*$L$20</f>
        <v>107155.02846871252</v>
      </c>
      <c r="M72" s="13">
        <f>$I$20*$M$20</f>
        <v>7732.0513890796383</v>
      </c>
      <c r="N72" s="13">
        <f ca="1">$I$20*$N$20</f>
        <v>0</v>
      </c>
      <c r="O72" s="13">
        <f>$I$20*$O$20</f>
        <v>0</v>
      </c>
      <c r="P72" s="13">
        <f>$I$20*$P$20</f>
        <v>0</v>
      </c>
      <c r="Q72" s="13">
        <f>$I$20*$Q$20</f>
        <v>307024.77981947677</v>
      </c>
      <c r="R72" s="13">
        <f>$I$20*$R$20</f>
        <v>48569.325008333071</v>
      </c>
      <c r="S72" s="13">
        <f>$I$20*$S$20</f>
        <v>0</v>
      </c>
      <c r="T72" s="13">
        <f>$I$20*$T$20</f>
        <v>0</v>
      </c>
      <c r="U72" s="13">
        <f>$I$20*$U$20</f>
        <v>0</v>
      </c>
      <c r="V72" s="13">
        <f>$I$20*$V$20</f>
        <v>0</v>
      </c>
      <c r="W72" s="13">
        <f>$I$20*$W$20</f>
        <v>0</v>
      </c>
      <c r="X72" s="13">
        <f>$I$20*$X$20</f>
        <v>541740.47104410722</v>
      </c>
      <c r="Y72" s="13">
        <f>$I$20*$Y$20</f>
        <v>0</v>
      </c>
      <c r="Z72" s="13">
        <f>$I$20*$Z$20</f>
        <v>0</v>
      </c>
      <c r="AA72" s="13">
        <f>$I$20*$AA$20</f>
        <v>623756.24062237842</v>
      </c>
      <c r="AB72" s="13">
        <f ca="1">$I$20*$AB$20</f>
        <v>0</v>
      </c>
      <c r="AC72" s="13">
        <f ca="1">$I$20*$AC$20</f>
        <v>0</v>
      </c>
      <c r="AD72" s="13">
        <f>$I$20*$AD$20</f>
        <v>43153.739055007696</v>
      </c>
      <c r="AE72" s="13">
        <f>$I$20*$AE$20</f>
        <v>0</v>
      </c>
      <c r="AF72" s="13">
        <f ca="1">$I$20*$AF$20</f>
        <v>0</v>
      </c>
      <c r="AG72" s="13">
        <f ca="1">$I$20*$AG$20</f>
        <v>0</v>
      </c>
      <c r="AI72" s="13">
        <f>$I$20*$AI$20</f>
        <v>111926.21720598414</v>
      </c>
      <c r="AJ72" s="13">
        <f>$I$20*$AJ$20</f>
        <v>5366.7691298913505</v>
      </c>
      <c r="AK72" s="13">
        <f>$I$20*$AK$20</f>
        <v>0</v>
      </c>
      <c r="AL72" s="13">
        <f>$I$20*$AL$20</f>
        <v>0</v>
      </c>
      <c r="AM72" s="13">
        <f>$I$20*$AM$20</f>
        <v>0</v>
      </c>
      <c r="AN72" s="13">
        <f>$I$20*$AN$20</f>
        <v>172993.6054857116</v>
      </c>
      <c r="AO72" s="13">
        <f>$I$20*$AO$20</f>
        <v>27686.243772187925</v>
      </c>
      <c r="AP72" s="13">
        <f>$I$20*$AP$20</f>
        <v>0</v>
      </c>
      <c r="AQ72" s="13">
        <f>$I$20*$AQ$20</f>
        <v>0</v>
      </c>
      <c r="AR72" s="13">
        <f>$I$20*$AR$20</f>
        <v>0</v>
      </c>
      <c r="AS72" s="13">
        <f>$I$20*$AS$20</f>
        <v>0</v>
      </c>
      <c r="AT72" s="13">
        <f>$I$20*$AT$20</f>
        <v>0</v>
      </c>
      <c r="AU72" s="13">
        <f>$I$20*$AU$20</f>
        <v>462368.33763860835</v>
      </c>
      <c r="AV72" s="13">
        <f>$I$20*$AV$20</f>
        <v>0</v>
      </c>
      <c r="AW72" s="13">
        <f>$I$20*$AW$20</f>
        <v>0</v>
      </c>
      <c r="AX72" s="13">
        <f>$I$20*$AX$20</f>
        <v>486374.5910148776</v>
      </c>
      <c r="AY72" s="13">
        <f>$I$20*$AY$20</f>
        <v>0</v>
      </c>
      <c r="AZ72" s="13">
        <f>$I$20*$AZ$20</f>
        <v>0</v>
      </c>
      <c r="BA72" s="13">
        <f>$I$20*$BA$20</f>
        <v>62704.796792065652</v>
      </c>
      <c r="BB72" s="13">
        <f>$I$20*$BB$20</f>
        <v>0</v>
      </c>
      <c r="BC72" s="13">
        <f>$I$20*$BC$20</f>
        <v>0</v>
      </c>
      <c r="BD72" s="13">
        <f>$I$20*$BD$20</f>
        <v>0</v>
      </c>
    </row>
    <row r="73" spans="1:56" ht="11.25" customHeight="1" x14ac:dyDescent="0.25">
      <c r="A73" s="9" t="s">
        <v>22</v>
      </c>
      <c r="B73" s="9" t="s">
        <v>617</v>
      </c>
      <c r="C73" s="9" t="s">
        <v>618</v>
      </c>
      <c r="D73" s="9" t="s">
        <v>623</v>
      </c>
      <c r="E73" s="9" t="s">
        <v>624</v>
      </c>
      <c r="F73" s="9" t="s">
        <v>625</v>
      </c>
      <c r="G73" s="9" t="s">
        <v>626</v>
      </c>
      <c r="L73" s="13">
        <f>$I$21*$L$21</f>
        <v>0</v>
      </c>
      <c r="M73" s="13">
        <f>$I$21*$M$21</f>
        <v>0.37604292595698974</v>
      </c>
      <c r="N73" s="13">
        <f ca="1">$I$21*$N$21</f>
        <v>0</v>
      </c>
      <c r="O73" s="13">
        <f>$I$21*$O$21</f>
        <v>0</v>
      </c>
      <c r="P73" s="13">
        <f>$I$21*$P$21</f>
        <v>0</v>
      </c>
      <c r="Q73" s="13">
        <f>$I$21*$Q$21</f>
        <v>0</v>
      </c>
      <c r="R73" s="13">
        <f>$I$21*$R$21</f>
        <v>0</v>
      </c>
      <c r="S73" s="13">
        <f>$I$21*$S$21</f>
        <v>0</v>
      </c>
      <c r="T73" s="13">
        <f>$I$21*$T$21</f>
        <v>0</v>
      </c>
      <c r="U73" s="13">
        <f>$I$21*$U$21</f>
        <v>0</v>
      </c>
      <c r="V73" s="13">
        <f>$I$21*$V$21</f>
        <v>0</v>
      </c>
      <c r="W73" s="13">
        <f>$I$21*$W$21</f>
        <v>0</v>
      </c>
      <c r="X73" s="13">
        <f>$I$21*$X$21</f>
        <v>26.347169928082028</v>
      </c>
      <c r="Y73" s="13">
        <f>$I$21*$Y$21</f>
        <v>0</v>
      </c>
      <c r="Z73" s="13">
        <f>$I$21*$Z$21</f>
        <v>0</v>
      </c>
      <c r="AA73" s="13">
        <f>$I$21*$AA$21</f>
        <v>30.335949672922617</v>
      </c>
      <c r="AB73" s="13">
        <f ca="1">$I$21*$AB$21</f>
        <v>0</v>
      </c>
      <c r="AC73" s="13">
        <f ca="1">$I$21*$AC$21</f>
        <v>0</v>
      </c>
      <c r="AD73" s="13">
        <f>$I$21*$AD$21</f>
        <v>2.0987519978396221</v>
      </c>
      <c r="AE73" s="13">
        <f>$I$21*$AE$21</f>
        <v>0</v>
      </c>
      <c r="AF73" s="13">
        <f ca="1">$I$21*$AF$21</f>
        <v>0</v>
      </c>
      <c r="AG73" s="13">
        <f ca="1">$I$21*$AG$21</f>
        <v>0</v>
      </c>
      <c r="AI73" s="13">
        <f>$I$21*$AI$21</f>
        <v>0</v>
      </c>
      <c r="AJ73" s="13">
        <f>$I$21*$AJ$21</f>
        <v>0.26100907314070615</v>
      </c>
      <c r="AK73" s="13">
        <f>$I$21*$AK$21</f>
        <v>0</v>
      </c>
      <c r="AL73" s="13">
        <f>$I$21*$AL$21</f>
        <v>0</v>
      </c>
      <c r="AM73" s="13">
        <f>$I$21*$AM$21</f>
        <v>0</v>
      </c>
      <c r="AN73" s="13">
        <f>$I$21*$AN$21</f>
        <v>0</v>
      </c>
      <c r="AO73" s="13">
        <f>$I$21*$AO$21</f>
        <v>0</v>
      </c>
      <c r="AP73" s="13">
        <f>$I$21*$AP$21</f>
        <v>0</v>
      </c>
      <c r="AQ73" s="13">
        <f>$I$21*$AQ$21</f>
        <v>0</v>
      </c>
      <c r="AR73" s="13">
        <f>$I$21*$AR$21</f>
        <v>0</v>
      </c>
      <c r="AS73" s="13">
        <f>$I$21*$AS$21</f>
        <v>0</v>
      </c>
      <c r="AT73" s="13">
        <f>$I$21*$AT$21</f>
        <v>0</v>
      </c>
      <c r="AU73" s="13">
        <f>$I$21*$AU$21</f>
        <v>22.486961584484167</v>
      </c>
      <c r="AV73" s="13">
        <f>$I$21*$AV$21</f>
        <v>0</v>
      </c>
      <c r="AW73" s="13">
        <f>$I$21*$AW$21</f>
        <v>0</v>
      </c>
      <c r="AX73" s="13">
        <f>$I$21*$AX$21</f>
        <v>23.654488972316503</v>
      </c>
      <c r="AY73" s="13">
        <f>$I$21*$AY$21</f>
        <v>0</v>
      </c>
      <c r="AZ73" s="13">
        <f>$I$21*$AZ$21</f>
        <v>0</v>
      </c>
      <c r="BA73" s="13">
        <f>$I$21*$BA$21</f>
        <v>3.0496040533990327</v>
      </c>
      <c r="BB73" s="13">
        <f>$I$21*$BB$21</f>
        <v>0</v>
      </c>
      <c r="BC73" s="13">
        <f>$I$21*$BC$21</f>
        <v>0</v>
      </c>
      <c r="BD73" s="13">
        <f>$I$21*$BD$21</f>
        <v>0</v>
      </c>
    </row>
    <row r="74" spans="1:56" ht="11.25" customHeight="1" x14ac:dyDescent="0.25">
      <c r="A74" s="9" t="s">
        <v>22</v>
      </c>
      <c r="B74" s="9" t="s">
        <v>617</v>
      </c>
      <c r="C74" s="9" t="s">
        <v>618</v>
      </c>
      <c r="D74" s="9" t="s">
        <v>627</v>
      </c>
      <c r="E74" s="9" t="s">
        <v>628</v>
      </c>
      <c r="F74" s="9" t="s">
        <v>629</v>
      </c>
      <c r="G74" s="9" t="s">
        <v>630</v>
      </c>
      <c r="L74" s="13">
        <f>$I$22*$L$22</f>
        <v>0</v>
      </c>
      <c r="M74" s="13">
        <f>$I$22*$M$22</f>
        <v>9.8214354197266616</v>
      </c>
      <c r="N74" s="13">
        <f ca="1">$I$22*$N$22</f>
        <v>0</v>
      </c>
      <c r="O74" s="13">
        <f>$I$22*$O$22</f>
        <v>0</v>
      </c>
      <c r="P74" s="13">
        <f>$I$22*$P$22</f>
        <v>0</v>
      </c>
      <c r="Q74" s="13">
        <f>$I$22*$Q$22</f>
        <v>0</v>
      </c>
      <c r="R74" s="13">
        <f>$I$22*$R$22</f>
        <v>0</v>
      </c>
      <c r="S74" s="13">
        <f>$I$22*$S$22</f>
        <v>0</v>
      </c>
      <c r="T74" s="13">
        <f>$I$22*$T$22</f>
        <v>0</v>
      </c>
      <c r="U74" s="13">
        <f>$I$22*$U$22</f>
        <v>0</v>
      </c>
      <c r="V74" s="13">
        <f>$I$22*$V$22</f>
        <v>0</v>
      </c>
      <c r="W74" s="13">
        <f>$I$22*$W$22</f>
        <v>0</v>
      </c>
      <c r="X74" s="13">
        <f>$I$22*$X$22</f>
        <v>688.13162030022818</v>
      </c>
      <c r="Y74" s="13">
        <f>$I$22*$Y$22</f>
        <v>0</v>
      </c>
      <c r="Z74" s="13">
        <f>$I$22*$Z$22</f>
        <v>0</v>
      </c>
      <c r="AA74" s="13">
        <f>$I$22*$AA$22</f>
        <v>792.30999985029666</v>
      </c>
      <c r="AB74" s="13">
        <f ca="1">$I$22*$AB$22</f>
        <v>0</v>
      </c>
      <c r="AC74" s="13">
        <f ca="1">$I$22*$AC$22</f>
        <v>0</v>
      </c>
      <c r="AD74" s="13">
        <f>$I$22*$AD$22</f>
        <v>54.814904857861265</v>
      </c>
      <c r="AE74" s="13">
        <f>$I$22*$AE$22</f>
        <v>0</v>
      </c>
      <c r="AF74" s="13">
        <f ca="1">$I$22*$AF$22</f>
        <v>0</v>
      </c>
      <c r="AG74" s="13">
        <f ca="1">$I$22*$AG$22</f>
        <v>0</v>
      </c>
      <c r="AI74" s="13">
        <f>$I$22*$AI$22</f>
        <v>0</v>
      </c>
      <c r="AJ74" s="13">
        <f>$I$22*$AJ$22</f>
        <v>6.8169976852785101</v>
      </c>
      <c r="AK74" s="13">
        <f>$I$22*$AK$22</f>
        <v>0</v>
      </c>
      <c r="AL74" s="13">
        <f>$I$22*$AL$22</f>
        <v>0</v>
      </c>
      <c r="AM74" s="13">
        <f>$I$22*$AM$22</f>
        <v>0</v>
      </c>
      <c r="AN74" s="13">
        <f>$I$22*$AN$22</f>
        <v>0</v>
      </c>
      <c r="AO74" s="13">
        <f>$I$22*$AO$22</f>
        <v>0</v>
      </c>
      <c r="AP74" s="13">
        <f>$I$22*$AP$22</f>
        <v>0</v>
      </c>
      <c r="AQ74" s="13">
        <f>$I$22*$AQ$22</f>
        <v>0</v>
      </c>
      <c r="AR74" s="13">
        <f>$I$22*$AR$22</f>
        <v>0</v>
      </c>
      <c r="AS74" s="13">
        <f>$I$22*$AS$22</f>
        <v>0</v>
      </c>
      <c r="AT74" s="13">
        <f>$I$22*$AT$22</f>
        <v>0</v>
      </c>
      <c r="AU74" s="13">
        <f>$I$22*$AU$22</f>
        <v>587.31125024047435</v>
      </c>
      <c r="AV74" s="13">
        <f>$I$22*$AV$22</f>
        <v>0</v>
      </c>
      <c r="AW74" s="13">
        <f>$I$22*$AW$22</f>
        <v>0</v>
      </c>
      <c r="AX74" s="13">
        <f>$I$22*$AX$22</f>
        <v>617.80456376625193</v>
      </c>
      <c r="AY74" s="13">
        <f>$I$22*$AY$22</f>
        <v>0</v>
      </c>
      <c r="AZ74" s="13">
        <f>$I$22*$AZ$22</f>
        <v>0</v>
      </c>
      <c r="BA74" s="13">
        <f>$I$22*$BA$22</f>
        <v>79.64912300895412</v>
      </c>
      <c r="BB74" s="13">
        <f>$I$22*$BB$22</f>
        <v>0</v>
      </c>
      <c r="BC74" s="13">
        <f>$I$22*$BC$22</f>
        <v>0</v>
      </c>
      <c r="BD74" s="13">
        <f>$I$22*$BD$22</f>
        <v>0</v>
      </c>
    </row>
    <row r="75" spans="1:56" ht="11.25" customHeight="1" x14ac:dyDescent="0.25">
      <c r="A75" s="9" t="s">
        <v>22</v>
      </c>
      <c r="B75" s="9" t="s">
        <v>617</v>
      </c>
      <c r="C75" s="9" t="s">
        <v>618</v>
      </c>
      <c r="D75" s="9" t="s">
        <v>631</v>
      </c>
      <c r="E75" s="9" t="s">
        <v>632</v>
      </c>
      <c r="F75" s="9" t="s">
        <v>633</v>
      </c>
      <c r="G75" s="9" t="s">
        <v>634</v>
      </c>
      <c r="L75" s="13">
        <f>$I$23*$L$23</f>
        <v>0</v>
      </c>
      <c r="M75" s="13">
        <f>$I$23*$M$23</f>
        <v>155.69788747159188</v>
      </c>
      <c r="N75" s="13">
        <f ca="1">$I$23*$N$23</f>
        <v>0</v>
      </c>
      <c r="O75" s="13">
        <f>$I$23*$O$23</f>
        <v>0</v>
      </c>
      <c r="P75" s="13">
        <f>$I$23*$P$23</f>
        <v>0</v>
      </c>
      <c r="Q75" s="13">
        <f>$I$23*$Q$23</f>
        <v>0</v>
      </c>
      <c r="R75" s="13">
        <f>$I$23*$R$23</f>
        <v>0</v>
      </c>
      <c r="S75" s="13">
        <f>$I$23*$S$23</f>
        <v>0</v>
      </c>
      <c r="T75" s="13">
        <f>$I$23*$T$23</f>
        <v>0</v>
      </c>
      <c r="U75" s="13">
        <f>$I$23*$U$23</f>
        <v>0</v>
      </c>
      <c r="V75" s="13">
        <f>$I$23*$V$23</f>
        <v>0</v>
      </c>
      <c r="W75" s="13">
        <f>$I$23*$W$23</f>
        <v>0</v>
      </c>
      <c r="X75" s="13">
        <f>$I$23*$X$23</f>
        <v>10908.857514651447</v>
      </c>
      <c r="Y75" s="13">
        <f>$I$23*$Y$23</f>
        <v>0</v>
      </c>
      <c r="Z75" s="13">
        <f>$I$23*$Z$23</f>
        <v>0</v>
      </c>
      <c r="AA75" s="13">
        <f>$I$23*$AA$23</f>
        <v>12560.383276718801</v>
      </c>
      <c r="AB75" s="13">
        <f ca="1">$I$23*$AB$23</f>
        <v>0</v>
      </c>
      <c r="AC75" s="13">
        <f ca="1">$I$23*$AC$23</f>
        <v>0</v>
      </c>
      <c r="AD75" s="13">
        <f>$I$23*$AD$23</f>
        <v>868.97327361979649</v>
      </c>
      <c r="AE75" s="13">
        <f>$I$23*$AE$23</f>
        <v>0</v>
      </c>
      <c r="AF75" s="13">
        <f ca="1">$I$23*$AF$23</f>
        <v>0</v>
      </c>
      <c r="AG75" s="13">
        <f ca="1">$I$23*$AG$23</f>
        <v>0</v>
      </c>
      <c r="AI75" s="13">
        <f>$I$23*$AI$23</f>
        <v>0</v>
      </c>
      <c r="AJ75" s="13">
        <f>$I$23*$AJ$23</f>
        <v>108.06894238338683</v>
      </c>
      <c r="AK75" s="13">
        <f>$I$23*$AK$23</f>
        <v>0</v>
      </c>
      <c r="AL75" s="13">
        <f>$I$23*$AL$23</f>
        <v>0</v>
      </c>
      <c r="AM75" s="13">
        <f>$I$23*$AM$23</f>
        <v>0</v>
      </c>
      <c r="AN75" s="13">
        <f>$I$23*$AN$23</f>
        <v>0</v>
      </c>
      <c r="AO75" s="13">
        <f>$I$23*$AO$23</f>
        <v>0</v>
      </c>
      <c r="AP75" s="13">
        <f>$I$23*$AP$23</f>
        <v>0</v>
      </c>
      <c r="AQ75" s="13">
        <f>$I$23*$AQ$23</f>
        <v>0</v>
      </c>
      <c r="AR75" s="13">
        <f>$I$23*$AR$23</f>
        <v>0</v>
      </c>
      <c r="AS75" s="13">
        <f>$I$23*$AS$23</f>
        <v>0</v>
      </c>
      <c r="AT75" s="13">
        <f>$I$23*$AT$23</f>
        <v>0</v>
      </c>
      <c r="AU75" s="13">
        <f>$I$23*$AU$23</f>
        <v>9310.5658229014807</v>
      </c>
      <c r="AV75" s="13">
        <f>$I$23*$AV$23</f>
        <v>0</v>
      </c>
      <c r="AW75" s="13">
        <f>$I$23*$AW$23</f>
        <v>0</v>
      </c>
      <c r="AX75" s="13">
        <f>$I$23*$AX$23</f>
        <v>9793.9721983521431</v>
      </c>
      <c r="AY75" s="13">
        <f>$I$23*$AY$23</f>
        <v>0</v>
      </c>
      <c r="AZ75" s="13">
        <f>$I$23*$AZ$23</f>
        <v>0</v>
      </c>
      <c r="BA75" s="13">
        <f>$I$23*$BA$23</f>
        <v>1262.6667754237715</v>
      </c>
      <c r="BB75" s="13">
        <f>$I$23*$BB$23</f>
        <v>0</v>
      </c>
      <c r="BC75" s="13">
        <f>$I$23*$BC$23</f>
        <v>0</v>
      </c>
      <c r="BD75" s="13">
        <f>$I$23*$BD$23</f>
        <v>0</v>
      </c>
    </row>
    <row r="76" spans="1:56" ht="11.25" customHeight="1" x14ac:dyDescent="0.25">
      <c r="A76" s="9" t="s">
        <v>22</v>
      </c>
      <c r="B76" s="9" t="s">
        <v>617</v>
      </c>
      <c r="C76" s="9" t="s">
        <v>618</v>
      </c>
      <c r="D76" s="9" t="s">
        <v>635</v>
      </c>
      <c r="E76" s="9" t="s">
        <v>636</v>
      </c>
      <c r="F76" s="9" t="s">
        <v>637</v>
      </c>
      <c r="G76" s="9" t="s">
        <v>638</v>
      </c>
      <c r="L76" s="13">
        <f>$I$24*$L$24</f>
        <v>0</v>
      </c>
      <c r="M76" s="13">
        <f>$I$24*$M$24</f>
        <v>182.45020796238205</v>
      </c>
      <c r="N76" s="13">
        <f ca="1">$I$24*$N$24</f>
        <v>0</v>
      </c>
      <c r="O76" s="13">
        <f>$I$24*$O$24</f>
        <v>0</v>
      </c>
      <c r="P76" s="13">
        <f>$I$24*$P$24</f>
        <v>0</v>
      </c>
      <c r="Q76" s="13">
        <f>$I$24*$Q$24</f>
        <v>0</v>
      </c>
      <c r="R76" s="13">
        <f>$I$24*$R$24</f>
        <v>0</v>
      </c>
      <c r="S76" s="13">
        <f>$I$24*$S$24</f>
        <v>0</v>
      </c>
      <c r="T76" s="13">
        <f>$I$24*$T$24</f>
        <v>0</v>
      </c>
      <c r="U76" s="13">
        <f>$I$24*$U$24</f>
        <v>0</v>
      </c>
      <c r="V76" s="13">
        <f>$I$24*$V$24</f>
        <v>0</v>
      </c>
      <c r="W76" s="13">
        <f>$I$24*$W$24</f>
        <v>0</v>
      </c>
      <c r="X76" s="13">
        <f>$I$24*$X$24</f>
        <v>12783.239095285082</v>
      </c>
      <c r="Y76" s="13">
        <f>$I$24*$Y$24</f>
        <v>0</v>
      </c>
      <c r="Z76" s="13">
        <f>$I$24*$Z$24</f>
        <v>0</v>
      </c>
      <c r="AA76" s="13">
        <f>$I$24*$AA$24</f>
        <v>14718.533296366637</v>
      </c>
      <c r="AB76" s="13">
        <f ca="1">$I$24*$AB$24</f>
        <v>0</v>
      </c>
      <c r="AC76" s="13">
        <f ca="1">$I$24*$AC$24</f>
        <v>0</v>
      </c>
      <c r="AD76" s="13">
        <f>$I$24*$AD$24</f>
        <v>1018.2819886661035</v>
      </c>
      <c r="AE76" s="13">
        <f>$I$24*$AE$24</f>
        <v>0</v>
      </c>
      <c r="AF76" s="13">
        <f ca="1">$I$24*$AF$24</f>
        <v>0</v>
      </c>
      <c r="AG76" s="13">
        <f ca="1">$I$24*$AG$24</f>
        <v>0</v>
      </c>
      <c r="AI76" s="13">
        <f>$I$24*$AI$24</f>
        <v>0</v>
      </c>
      <c r="AJ76" s="13">
        <f>$I$24*$AJ$24</f>
        <v>126.63756286173899</v>
      </c>
      <c r="AK76" s="13">
        <f>$I$24*$AK$24</f>
        <v>0</v>
      </c>
      <c r="AL76" s="13">
        <f>$I$24*$AL$24</f>
        <v>0</v>
      </c>
      <c r="AM76" s="13">
        <f>$I$24*$AM$24</f>
        <v>0</v>
      </c>
      <c r="AN76" s="13">
        <f>$I$24*$AN$24</f>
        <v>0</v>
      </c>
      <c r="AO76" s="13">
        <f>$I$24*$AO$24</f>
        <v>0</v>
      </c>
      <c r="AP76" s="13">
        <f>$I$24*$AP$24</f>
        <v>0</v>
      </c>
      <c r="AQ76" s="13">
        <f>$I$24*$AQ$24</f>
        <v>0</v>
      </c>
      <c r="AR76" s="13">
        <f>$I$24*$AR$24</f>
        <v>0</v>
      </c>
      <c r="AS76" s="13">
        <f>$I$24*$AS$24</f>
        <v>0</v>
      </c>
      <c r="AT76" s="13">
        <f>$I$24*$AT$24</f>
        <v>0</v>
      </c>
      <c r="AU76" s="13">
        <f>$I$24*$AU$24</f>
        <v>10910.325748291027</v>
      </c>
      <c r="AV76" s="13">
        <f>$I$24*$AV$24</f>
        <v>0</v>
      </c>
      <c r="AW76" s="13">
        <f>$I$24*$AW$24</f>
        <v>0</v>
      </c>
      <c r="AX76" s="13">
        <f>$I$24*$AX$24</f>
        <v>11476.79196799101</v>
      </c>
      <c r="AY76" s="13">
        <f>$I$24*$AY$24</f>
        <v>0</v>
      </c>
      <c r="AZ76" s="13">
        <f>$I$24*$AZ$24</f>
        <v>0</v>
      </c>
      <c r="BA76" s="13">
        <f>$I$24*$BA$24</f>
        <v>1479.6206904559995</v>
      </c>
      <c r="BB76" s="13">
        <f>$I$24*$BB$24</f>
        <v>0</v>
      </c>
      <c r="BC76" s="13">
        <f>$I$24*$BC$24</f>
        <v>0</v>
      </c>
      <c r="BD76" s="13">
        <f>$I$24*$BD$24</f>
        <v>0</v>
      </c>
    </row>
    <row r="77" spans="1:56" ht="11.25" customHeight="1" x14ac:dyDescent="0.25">
      <c r="A77" s="9" t="s">
        <v>22</v>
      </c>
      <c r="B77" s="9" t="s">
        <v>639</v>
      </c>
      <c r="C77" s="9" t="s">
        <v>640</v>
      </c>
      <c r="D77" s="9" t="s">
        <v>641</v>
      </c>
      <c r="E77" s="9" t="s">
        <v>642</v>
      </c>
      <c r="F77" s="9" t="s">
        <v>643</v>
      </c>
      <c r="G77" s="9" t="s">
        <v>644</v>
      </c>
      <c r="L77" s="13">
        <f>$I$25*$L$25</f>
        <v>0</v>
      </c>
      <c r="M77" s="13">
        <f>$I$25*$M$25</f>
        <v>0</v>
      </c>
      <c r="N77" s="13">
        <f ca="1">$I$25*$N$25</f>
        <v>0</v>
      </c>
      <c r="O77" s="13">
        <f>$I$25*$O$25</f>
        <v>0</v>
      </c>
      <c r="P77" s="13">
        <f>$I$25*$P$25</f>
        <v>0</v>
      </c>
      <c r="Q77" s="13">
        <f>$I$25*$Q$25</f>
        <v>0</v>
      </c>
      <c r="R77" s="13">
        <f>$I$25*$R$25</f>
        <v>0</v>
      </c>
      <c r="S77" s="13">
        <f>$I$25*$S$25</f>
        <v>0</v>
      </c>
      <c r="T77" s="13">
        <f>$I$25*$T$25</f>
        <v>0</v>
      </c>
      <c r="U77" s="13">
        <f>$I$25*$U$25</f>
        <v>0</v>
      </c>
      <c r="V77" s="13">
        <f>$I$25*$V$25</f>
        <v>0</v>
      </c>
      <c r="W77" s="13">
        <f>$I$25*$W$25</f>
        <v>0</v>
      </c>
      <c r="X77" s="13">
        <f>$I$25*$X$25</f>
        <v>0</v>
      </c>
      <c r="Y77" s="13">
        <f>$I$25*$Y$25</f>
        <v>0</v>
      </c>
      <c r="Z77" s="13">
        <f>$I$25*$Z$25</f>
        <v>0</v>
      </c>
      <c r="AA77" s="13">
        <f>$I$25*$AA$25</f>
        <v>0</v>
      </c>
      <c r="AB77" s="13">
        <f ca="1">$I$25*$AB$25</f>
        <v>0</v>
      </c>
      <c r="AC77" s="13">
        <f ca="1">$I$25*$AC$25</f>
        <v>0</v>
      </c>
      <c r="AD77" s="13">
        <f>$I$25*$AD$25</f>
        <v>0</v>
      </c>
      <c r="AE77" s="13">
        <f>$I$25*$AE$25</f>
        <v>0</v>
      </c>
      <c r="AF77" s="13">
        <f ca="1">$I$25*$AF$25</f>
        <v>0</v>
      </c>
      <c r="AG77" s="13">
        <f ca="1">$I$25*$AG$25</f>
        <v>0</v>
      </c>
      <c r="AI77" s="13">
        <f>$I$25*$AI$25</f>
        <v>0</v>
      </c>
      <c r="AJ77" s="13">
        <f>$I$25*$AJ$25</f>
        <v>0</v>
      </c>
      <c r="AK77" s="13">
        <f>$I$25*$AK$25</f>
        <v>0</v>
      </c>
      <c r="AL77" s="13">
        <f>$I$25*$AL$25</f>
        <v>0</v>
      </c>
      <c r="AM77" s="13">
        <f>$I$25*$AM$25</f>
        <v>0</v>
      </c>
      <c r="AN77" s="13">
        <f>$I$25*$AN$25</f>
        <v>0</v>
      </c>
      <c r="AO77" s="13">
        <f>$I$25*$AO$25</f>
        <v>0</v>
      </c>
      <c r="AP77" s="13">
        <f>$I$25*$AP$25</f>
        <v>0</v>
      </c>
      <c r="AQ77" s="13">
        <f>$I$25*$AQ$25</f>
        <v>0</v>
      </c>
      <c r="AR77" s="13">
        <f>$I$25*$AR$25</f>
        <v>0</v>
      </c>
      <c r="AS77" s="13">
        <f>$I$25*$AS$25</f>
        <v>0</v>
      </c>
      <c r="AT77" s="13">
        <f>$I$25*$AT$25</f>
        <v>0</v>
      </c>
      <c r="AU77" s="13">
        <f>$I$25*$AU$25</f>
        <v>0</v>
      </c>
      <c r="AV77" s="13">
        <f>$I$25*$AV$25</f>
        <v>0</v>
      </c>
      <c r="AW77" s="13">
        <f>$I$25*$AW$25</f>
        <v>0</v>
      </c>
      <c r="AX77" s="13">
        <f>$I$25*$AX$25</f>
        <v>0</v>
      </c>
      <c r="AY77" s="13">
        <f>$I$25*$AY$25</f>
        <v>0</v>
      </c>
      <c r="AZ77" s="13">
        <f>$I$25*$AZ$25</f>
        <v>0</v>
      </c>
      <c r="BA77" s="13">
        <f>$I$25*$BA$25</f>
        <v>0</v>
      </c>
      <c r="BB77" s="13">
        <f>$I$25*$BB$25</f>
        <v>0</v>
      </c>
      <c r="BC77" s="13">
        <f>$I$25*$BC$25</f>
        <v>0</v>
      </c>
      <c r="BD77" s="13">
        <f>$I$25*$BD$25</f>
        <v>0</v>
      </c>
    </row>
    <row r="78" spans="1:56" ht="11.25" customHeight="1" x14ac:dyDescent="0.25">
      <c r="A78" s="9" t="s">
        <v>22</v>
      </c>
      <c r="B78" s="9" t="s">
        <v>639</v>
      </c>
      <c r="C78" s="9" t="s">
        <v>640</v>
      </c>
      <c r="D78" s="9" t="s">
        <v>645</v>
      </c>
      <c r="E78" s="9" t="s">
        <v>646</v>
      </c>
      <c r="F78" s="9" t="s">
        <v>647</v>
      </c>
      <c r="G78" s="9" t="s">
        <v>648</v>
      </c>
      <c r="L78" s="13">
        <f>$I$26*$L$26</f>
        <v>0</v>
      </c>
      <c r="M78" s="13">
        <f>$I$26*$M$26</f>
        <v>0</v>
      </c>
      <c r="N78" s="13">
        <f ca="1">$I$26*$N$26</f>
        <v>0</v>
      </c>
      <c r="O78" s="13">
        <f>$I$26*$O$26</f>
        <v>0</v>
      </c>
      <c r="P78" s="13">
        <f>$I$26*$P$26</f>
        <v>0</v>
      </c>
      <c r="Q78" s="13">
        <f>$I$26*$Q$26</f>
        <v>0</v>
      </c>
      <c r="R78" s="13">
        <f>$I$26*$R$26</f>
        <v>0</v>
      </c>
      <c r="S78" s="13">
        <f>$I$26*$S$26</f>
        <v>0</v>
      </c>
      <c r="T78" s="13">
        <f>$I$26*$T$26</f>
        <v>0</v>
      </c>
      <c r="U78" s="13">
        <f>$I$26*$U$26</f>
        <v>0</v>
      </c>
      <c r="V78" s="13">
        <f>$I$26*$V$26</f>
        <v>0</v>
      </c>
      <c r="W78" s="13">
        <f>$I$26*$W$26</f>
        <v>0</v>
      </c>
      <c r="X78" s="13">
        <f>$I$26*$X$26</f>
        <v>0</v>
      </c>
      <c r="Y78" s="13">
        <f>$I$26*$Y$26</f>
        <v>0</v>
      </c>
      <c r="Z78" s="13">
        <f>$I$26*$Z$26</f>
        <v>0</v>
      </c>
      <c r="AA78" s="13">
        <f>$I$26*$AA$26</f>
        <v>0</v>
      </c>
      <c r="AB78" s="13">
        <f ca="1">$I$26*$AB$26</f>
        <v>0</v>
      </c>
      <c r="AC78" s="13">
        <f ca="1">$I$26*$AC$26</f>
        <v>0</v>
      </c>
      <c r="AD78" s="13">
        <f>$I$26*$AD$26</f>
        <v>0</v>
      </c>
      <c r="AE78" s="13">
        <f>$I$26*$AE$26</f>
        <v>0</v>
      </c>
      <c r="AF78" s="13">
        <f ca="1">$I$26*$AF$26</f>
        <v>0</v>
      </c>
      <c r="AG78" s="13">
        <f ca="1">$I$26*$AG$26</f>
        <v>0</v>
      </c>
      <c r="AI78" s="13">
        <f>$I$26*$AI$26</f>
        <v>0</v>
      </c>
      <c r="AJ78" s="13">
        <f>$I$26*$AJ$26</f>
        <v>0</v>
      </c>
      <c r="AK78" s="13">
        <f>$I$26*$AK$26</f>
        <v>0</v>
      </c>
      <c r="AL78" s="13">
        <f>$I$26*$AL$26</f>
        <v>0</v>
      </c>
      <c r="AM78" s="13">
        <f>$I$26*$AM$26</f>
        <v>0</v>
      </c>
      <c r="AN78" s="13">
        <f>$I$26*$AN$26</f>
        <v>0</v>
      </c>
      <c r="AO78" s="13">
        <f>$I$26*$AO$26</f>
        <v>0</v>
      </c>
      <c r="AP78" s="13">
        <f>$I$26*$AP$26</f>
        <v>0</v>
      </c>
      <c r="AQ78" s="13">
        <f>$I$26*$AQ$26</f>
        <v>0</v>
      </c>
      <c r="AR78" s="13">
        <f>$I$26*$AR$26</f>
        <v>0</v>
      </c>
      <c r="AS78" s="13">
        <f>$I$26*$AS$26</f>
        <v>0</v>
      </c>
      <c r="AT78" s="13">
        <f>$I$26*$AT$26</f>
        <v>0</v>
      </c>
      <c r="AU78" s="13">
        <f>$I$26*$AU$26</f>
        <v>0</v>
      </c>
      <c r="AV78" s="13">
        <f>$I$26*$AV$26</f>
        <v>0</v>
      </c>
      <c r="AW78" s="13">
        <f>$I$26*$AW$26</f>
        <v>0</v>
      </c>
      <c r="AX78" s="13">
        <f>$I$26*$AX$26</f>
        <v>0</v>
      </c>
      <c r="AY78" s="13">
        <f>$I$26*$AY$26</f>
        <v>0</v>
      </c>
      <c r="AZ78" s="13">
        <f>$I$26*$AZ$26</f>
        <v>0</v>
      </c>
      <c r="BA78" s="13">
        <f>$I$26*$BA$26</f>
        <v>0</v>
      </c>
      <c r="BB78" s="13">
        <f>$I$26*$BB$26</f>
        <v>0</v>
      </c>
      <c r="BC78" s="13">
        <f>$I$26*$BC$26</f>
        <v>0</v>
      </c>
      <c r="BD78" s="13">
        <f>$I$26*$BD$26</f>
        <v>0</v>
      </c>
    </row>
    <row r="79" spans="1:56" ht="11.25" customHeight="1" x14ac:dyDescent="0.25">
      <c r="A79" s="9" t="s">
        <v>22</v>
      </c>
      <c r="B79" s="9" t="s">
        <v>639</v>
      </c>
      <c r="C79" s="9" t="s">
        <v>640</v>
      </c>
      <c r="D79" s="9" t="s">
        <v>649</v>
      </c>
      <c r="E79" s="9" t="s">
        <v>650</v>
      </c>
      <c r="F79" s="9" t="s">
        <v>651</v>
      </c>
      <c r="G79" s="9" t="s">
        <v>652</v>
      </c>
      <c r="L79" s="13">
        <f>$I$27*$L$27</f>
        <v>0</v>
      </c>
      <c r="M79" s="13">
        <f>$I$27*$M$27</f>
        <v>0</v>
      </c>
      <c r="N79" s="13">
        <f ca="1">$I$27*$N$27</f>
        <v>0</v>
      </c>
      <c r="O79" s="13">
        <f>$I$27*$O$27</f>
        <v>0</v>
      </c>
      <c r="P79" s="13">
        <f>$I$27*$P$27</f>
        <v>0</v>
      </c>
      <c r="Q79" s="13">
        <f>$I$27*$Q$27</f>
        <v>0</v>
      </c>
      <c r="R79" s="13">
        <f>$I$27*$R$27</f>
        <v>0</v>
      </c>
      <c r="S79" s="13">
        <f>$I$27*$S$27</f>
        <v>0</v>
      </c>
      <c r="T79" s="13">
        <f>$I$27*$T$27</f>
        <v>0</v>
      </c>
      <c r="U79" s="13">
        <f>$I$27*$U$27</f>
        <v>0</v>
      </c>
      <c r="V79" s="13">
        <f>$I$27*$V$27</f>
        <v>0</v>
      </c>
      <c r="W79" s="13">
        <f>$I$27*$W$27</f>
        <v>0</v>
      </c>
      <c r="X79" s="13">
        <f>$I$27*$X$27</f>
        <v>0</v>
      </c>
      <c r="Y79" s="13">
        <f>$I$27*$Y$27</f>
        <v>0</v>
      </c>
      <c r="Z79" s="13">
        <f>$I$27*$Z$27</f>
        <v>0</v>
      </c>
      <c r="AA79" s="13">
        <f>$I$27*$AA$27</f>
        <v>0</v>
      </c>
      <c r="AB79" s="13">
        <f ca="1">$I$27*$AB$27</f>
        <v>0</v>
      </c>
      <c r="AC79" s="13">
        <f ca="1">$I$27*$AC$27</f>
        <v>0</v>
      </c>
      <c r="AD79" s="13">
        <f>$I$27*$AD$27</f>
        <v>0</v>
      </c>
      <c r="AE79" s="13">
        <f>$I$27*$AE$27</f>
        <v>0</v>
      </c>
      <c r="AF79" s="13">
        <f ca="1">$I$27*$AF$27</f>
        <v>0</v>
      </c>
      <c r="AG79" s="13">
        <f ca="1">$I$27*$AG$27</f>
        <v>0</v>
      </c>
      <c r="AI79" s="13">
        <f>$I$27*$AI$27</f>
        <v>0</v>
      </c>
      <c r="AJ79" s="13">
        <f>$I$27*$AJ$27</f>
        <v>0</v>
      </c>
      <c r="AK79" s="13">
        <f>$I$27*$AK$27</f>
        <v>0</v>
      </c>
      <c r="AL79" s="13">
        <f>$I$27*$AL$27</f>
        <v>0</v>
      </c>
      <c r="AM79" s="13">
        <f>$I$27*$AM$27</f>
        <v>0</v>
      </c>
      <c r="AN79" s="13">
        <f>$I$27*$AN$27</f>
        <v>0</v>
      </c>
      <c r="AO79" s="13">
        <f>$I$27*$AO$27</f>
        <v>0</v>
      </c>
      <c r="AP79" s="13">
        <f>$I$27*$AP$27</f>
        <v>0</v>
      </c>
      <c r="AQ79" s="13">
        <f>$I$27*$AQ$27</f>
        <v>0</v>
      </c>
      <c r="AR79" s="13">
        <f>$I$27*$AR$27</f>
        <v>0</v>
      </c>
      <c r="AS79" s="13">
        <f>$I$27*$AS$27</f>
        <v>0</v>
      </c>
      <c r="AT79" s="13">
        <f>$I$27*$AT$27</f>
        <v>0</v>
      </c>
      <c r="AU79" s="13">
        <f>$I$27*$AU$27</f>
        <v>0</v>
      </c>
      <c r="AV79" s="13">
        <f>$I$27*$AV$27</f>
        <v>0</v>
      </c>
      <c r="AW79" s="13">
        <f>$I$27*$AW$27</f>
        <v>0</v>
      </c>
      <c r="AX79" s="13">
        <f>$I$27*$AX$27</f>
        <v>0</v>
      </c>
      <c r="AY79" s="13">
        <f>$I$27*$AY$27</f>
        <v>0</v>
      </c>
      <c r="AZ79" s="13">
        <f>$I$27*$AZ$27</f>
        <v>0</v>
      </c>
      <c r="BA79" s="13">
        <f>$I$27*$BA$27</f>
        <v>0</v>
      </c>
      <c r="BB79" s="13">
        <f>$I$27*$BB$27</f>
        <v>0</v>
      </c>
      <c r="BC79" s="13">
        <f>$I$27*$BC$27</f>
        <v>0</v>
      </c>
      <c r="BD79" s="13">
        <f>$I$27*$BD$27</f>
        <v>0</v>
      </c>
    </row>
    <row r="80" spans="1:56" ht="11.25" customHeight="1" x14ac:dyDescent="0.25">
      <c r="A80" s="9" t="s">
        <v>22</v>
      </c>
      <c r="B80" s="9" t="s">
        <v>639</v>
      </c>
      <c r="C80" s="9" t="s">
        <v>640</v>
      </c>
      <c r="D80" s="9" t="s">
        <v>653</v>
      </c>
      <c r="E80" s="9" t="s">
        <v>654</v>
      </c>
      <c r="F80" s="9" t="s">
        <v>655</v>
      </c>
      <c r="G80" s="9" t="s">
        <v>656</v>
      </c>
      <c r="L80" s="13">
        <f>$I$28*$L$28</f>
        <v>0</v>
      </c>
      <c r="M80" s="13">
        <f>$I$28*$M$28</f>
        <v>0</v>
      </c>
      <c r="N80" s="13">
        <f ca="1">$I$28*$N$28</f>
        <v>0</v>
      </c>
      <c r="O80" s="13">
        <f>$I$28*$O$28</f>
        <v>0</v>
      </c>
      <c r="P80" s="13">
        <f>$I$28*$P$28</f>
        <v>0</v>
      </c>
      <c r="Q80" s="13">
        <f>$I$28*$Q$28</f>
        <v>0</v>
      </c>
      <c r="R80" s="13">
        <f>$I$28*$R$28</f>
        <v>0</v>
      </c>
      <c r="S80" s="13">
        <f>$I$28*$S$28</f>
        <v>0</v>
      </c>
      <c r="T80" s="13">
        <f>$I$28*$T$28</f>
        <v>0</v>
      </c>
      <c r="U80" s="13">
        <f>$I$28*$U$28</f>
        <v>0</v>
      </c>
      <c r="V80" s="13">
        <f>$I$28*$V$28</f>
        <v>0</v>
      </c>
      <c r="W80" s="13">
        <f>$I$28*$W$28</f>
        <v>0</v>
      </c>
      <c r="X80" s="13">
        <f>$I$28*$X$28</f>
        <v>0</v>
      </c>
      <c r="Y80" s="13">
        <f>$I$28*$Y$28</f>
        <v>0</v>
      </c>
      <c r="Z80" s="13">
        <f>$I$28*$Z$28</f>
        <v>0</v>
      </c>
      <c r="AA80" s="13">
        <f>$I$28*$AA$28</f>
        <v>0</v>
      </c>
      <c r="AB80" s="13">
        <f ca="1">$I$28*$AB$28</f>
        <v>0</v>
      </c>
      <c r="AC80" s="13">
        <f ca="1">$I$28*$AC$28</f>
        <v>0</v>
      </c>
      <c r="AD80" s="13">
        <f>$I$28*$AD$28</f>
        <v>0</v>
      </c>
      <c r="AE80" s="13">
        <f>$I$28*$AE$28</f>
        <v>0</v>
      </c>
      <c r="AF80" s="13">
        <f ca="1">$I$28*$AF$28</f>
        <v>0</v>
      </c>
      <c r="AG80" s="13">
        <f ca="1">$I$28*$AG$28</f>
        <v>0</v>
      </c>
      <c r="AI80" s="13">
        <f>$I$28*$AI$28</f>
        <v>0</v>
      </c>
      <c r="AJ80" s="13">
        <f>$I$28*$AJ$28</f>
        <v>0</v>
      </c>
      <c r="AK80" s="13">
        <f>$I$28*$AK$28</f>
        <v>0</v>
      </c>
      <c r="AL80" s="13">
        <f>$I$28*$AL$28</f>
        <v>0</v>
      </c>
      <c r="AM80" s="13">
        <f>$I$28*$AM$28</f>
        <v>0</v>
      </c>
      <c r="AN80" s="13">
        <f>$I$28*$AN$28</f>
        <v>0</v>
      </c>
      <c r="AO80" s="13">
        <f>$I$28*$AO$28</f>
        <v>0</v>
      </c>
      <c r="AP80" s="13">
        <f>$I$28*$AP$28</f>
        <v>0</v>
      </c>
      <c r="AQ80" s="13">
        <f>$I$28*$AQ$28</f>
        <v>0</v>
      </c>
      <c r="AR80" s="13">
        <f>$I$28*$AR$28</f>
        <v>0</v>
      </c>
      <c r="AS80" s="13">
        <f>$I$28*$AS$28</f>
        <v>0</v>
      </c>
      <c r="AT80" s="13">
        <f>$I$28*$AT$28</f>
        <v>0</v>
      </c>
      <c r="AU80" s="13">
        <f>$I$28*$AU$28</f>
        <v>0</v>
      </c>
      <c r="AV80" s="13">
        <f>$I$28*$AV$28</f>
        <v>0</v>
      </c>
      <c r="AW80" s="13">
        <f>$I$28*$AW$28</f>
        <v>0</v>
      </c>
      <c r="AX80" s="13">
        <f>$I$28*$AX$28</f>
        <v>0</v>
      </c>
      <c r="AY80" s="13">
        <f>$I$28*$AY$28</f>
        <v>0</v>
      </c>
      <c r="AZ80" s="13">
        <f>$I$28*$AZ$28</f>
        <v>0</v>
      </c>
      <c r="BA80" s="13">
        <f>$I$28*$BA$28</f>
        <v>0</v>
      </c>
      <c r="BB80" s="13">
        <f>$I$28*$BB$28</f>
        <v>0</v>
      </c>
      <c r="BC80" s="13">
        <f>$I$28*$BC$28</f>
        <v>0</v>
      </c>
      <c r="BD80" s="13">
        <f>$I$28*$BD$28</f>
        <v>0</v>
      </c>
    </row>
    <row r="81" spans="1:56" ht="11.25" customHeight="1" x14ac:dyDescent="0.25">
      <c r="A81" s="9" t="s">
        <v>22</v>
      </c>
      <c r="B81" s="9" t="s">
        <v>639</v>
      </c>
      <c r="C81" s="9" t="s">
        <v>640</v>
      </c>
      <c r="D81" s="9" t="s">
        <v>657</v>
      </c>
      <c r="E81" s="9" t="s">
        <v>658</v>
      </c>
      <c r="F81" s="9" t="s">
        <v>659</v>
      </c>
      <c r="G81" s="9" t="s">
        <v>660</v>
      </c>
      <c r="L81" s="13">
        <f>$I$29*$L$29</f>
        <v>0</v>
      </c>
      <c r="M81" s="13">
        <f>$I$29*$M$29</f>
        <v>0</v>
      </c>
      <c r="N81" s="13">
        <f ca="1">$I$29*$N$29</f>
        <v>0</v>
      </c>
      <c r="O81" s="13">
        <f>$I$29*$O$29</f>
        <v>0</v>
      </c>
      <c r="P81" s="13">
        <f>$I$29*$P$29</f>
        <v>0</v>
      </c>
      <c r="Q81" s="13">
        <f>$I$29*$Q$29</f>
        <v>0</v>
      </c>
      <c r="R81" s="13">
        <f>$I$29*$R$29</f>
        <v>0</v>
      </c>
      <c r="S81" s="13">
        <f>$I$29*$S$29</f>
        <v>0</v>
      </c>
      <c r="T81" s="13">
        <f>$I$29*$T$29</f>
        <v>0</v>
      </c>
      <c r="U81" s="13">
        <f>$I$29*$U$29</f>
        <v>0</v>
      </c>
      <c r="V81" s="13">
        <f>$I$29*$V$29</f>
        <v>0</v>
      </c>
      <c r="W81" s="13">
        <f>$I$29*$W$29</f>
        <v>0</v>
      </c>
      <c r="X81" s="13">
        <f>$I$29*$X$29</f>
        <v>0</v>
      </c>
      <c r="Y81" s="13">
        <f>$I$29*$Y$29</f>
        <v>0</v>
      </c>
      <c r="Z81" s="13">
        <f>$I$29*$Z$29</f>
        <v>0</v>
      </c>
      <c r="AA81" s="13">
        <f>$I$29*$AA$29</f>
        <v>0</v>
      </c>
      <c r="AB81" s="13">
        <f ca="1">$I$29*$AB$29</f>
        <v>0</v>
      </c>
      <c r="AC81" s="13">
        <f ca="1">$I$29*$AC$29</f>
        <v>0</v>
      </c>
      <c r="AD81" s="13">
        <f>$I$29*$AD$29</f>
        <v>0</v>
      </c>
      <c r="AE81" s="13">
        <f>$I$29*$AE$29</f>
        <v>0</v>
      </c>
      <c r="AF81" s="13">
        <f ca="1">$I$29*$AF$29</f>
        <v>0</v>
      </c>
      <c r="AG81" s="13">
        <f ca="1">$I$29*$AG$29</f>
        <v>0</v>
      </c>
      <c r="AI81" s="13">
        <f>$I$29*$AI$29</f>
        <v>0</v>
      </c>
      <c r="AJ81" s="13">
        <f>$I$29*$AJ$29</f>
        <v>0</v>
      </c>
      <c r="AK81" s="13">
        <f>$I$29*$AK$29</f>
        <v>0</v>
      </c>
      <c r="AL81" s="13">
        <f>$I$29*$AL$29</f>
        <v>0</v>
      </c>
      <c r="AM81" s="13">
        <f>$I$29*$AM$29</f>
        <v>0</v>
      </c>
      <c r="AN81" s="13">
        <f>$I$29*$AN$29</f>
        <v>0</v>
      </c>
      <c r="AO81" s="13">
        <f>$I$29*$AO$29</f>
        <v>0</v>
      </c>
      <c r="AP81" s="13">
        <f>$I$29*$AP$29</f>
        <v>0</v>
      </c>
      <c r="AQ81" s="13">
        <f>$I$29*$AQ$29</f>
        <v>0</v>
      </c>
      <c r="AR81" s="13">
        <f>$I$29*$AR$29</f>
        <v>0</v>
      </c>
      <c r="AS81" s="13">
        <f>$I$29*$AS$29</f>
        <v>0</v>
      </c>
      <c r="AT81" s="13">
        <f>$I$29*$AT$29</f>
        <v>0</v>
      </c>
      <c r="AU81" s="13">
        <f>$I$29*$AU$29</f>
        <v>0</v>
      </c>
      <c r="AV81" s="13">
        <f>$I$29*$AV$29</f>
        <v>0</v>
      </c>
      <c r="AW81" s="13">
        <f>$I$29*$AW$29</f>
        <v>0</v>
      </c>
      <c r="AX81" s="13">
        <f>$I$29*$AX$29</f>
        <v>0</v>
      </c>
      <c r="AY81" s="13">
        <f>$I$29*$AY$29</f>
        <v>0</v>
      </c>
      <c r="AZ81" s="13">
        <f>$I$29*$AZ$29</f>
        <v>0</v>
      </c>
      <c r="BA81" s="13">
        <f>$I$29*$BA$29</f>
        <v>0</v>
      </c>
      <c r="BB81" s="13">
        <f>$I$29*$BB$29</f>
        <v>0</v>
      </c>
      <c r="BC81" s="13">
        <f>$I$29*$BC$29</f>
        <v>0</v>
      </c>
      <c r="BD81" s="13">
        <f>$I$29*$BD$29</f>
        <v>0</v>
      </c>
    </row>
    <row r="82" spans="1:56" ht="11.25" customHeight="1" x14ac:dyDescent="0.25">
      <c r="A82" s="9" t="s">
        <v>31</v>
      </c>
      <c r="B82" s="9" t="s">
        <v>661</v>
      </c>
      <c r="C82" s="9" t="s">
        <v>662</v>
      </c>
      <c r="D82" s="9" t="s">
        <v>663</v>
      </c>
      <c r="E82" s="9" t="s">
        <v>664</v>
      </c>
      <c r="F82" s="9" t="s">
        <v>665</v>
      </c>
      <c r="G82" s="9" t="s">
        <v>666</v>
      </c>
      <c r="L82" s="13">
        <f>$I$30*$L$30</f>
        <v>0</v>
      </c>
      <c r="M82" s="13">
        <f>$I$30*$M$30</f>
        <v>0</v>
      </c>
      <c r="N82" s="13">
        <f ca="1">$I$30*$N$30</f>
        <v>0</v>
      </c>
      <c r="O82" s="13">
        <f>$I$30*$O$30</f>
        <v>0</v>
      </c>
      <c r="P82" s="13">
        <f>$I$30*$P$30</f>
        <v>0</v>
      </c>
      <c r="Q82" s="13">
        <f>$I$30*$Q$30</f>
        <v>0</v>
      </c>
      <c r="R82" s="13">
        <f>$I$30*$R$30</f>
        <v>0</v>
      </c>
      <c r="S82" s="13">
        <f>$I$30*$S$30</f>
        <v>0</v>
      </c>
      <c r="T82" s="13">
        <f>$I$30*$T$30</f>
        <v>0</v>
      </c>
      <c r="U82" s="13">
        <f>$I$30*$U$30</f>
        <v>0</v>
      </c>
      <c r="V82" s="13">
        <f>$I$30*$V$30</f>
        <v>0</v>
      </c>
      <c r="W82" s="13">
        <f>$I$30*$W$30</f>
        <v>0</v>
      </c>
      <c r="X82" s="13">
        <f>$I$30*$X$30</f>
        <v>0</v>
      </c>
      <c r="Y82" s="13">
        <f>$I$30*$Y$30</f>
        <v>0</v>
      </c>
      <c r="Z82" s="13">
        <f>$I$30*$Z$30</f>
        <v>0</v>
      </c>
      <c r="AA82" s="13">
        <f>$I$30*$AA$30</f>
        <v>0</v>
      </c>
      <c r="AB82" s="13">
        <f ca="1">$I$30*$AB$30</f>
        <v>0</v>
      </c>
      <c r="AC82" s="13">
        <f ca="1">$I$30*$AC$30</f>
        <v>0</v>
      </c>
      <c r="AD82" s="13">
        <f>$I$30*$AD$30</f>
        <v>0</v>
      </c>
      <c r="AE82" s="13">
        <f>$I$30*$AE$30</f>
        <v>0</v>
      </c>
      <c r="AF82" s="13">
        <f ca="1">$I$30*$AF$30</f>
        <v>0</v>
      </c>
      <c r="AG82" s="13">
        <f ca="1">$I$30*$AG$30</f>
        <v>0</v>
      </c>
      <c r="AI82" s="13">
        <f>$I$30*$AI$30</f>
        <v>0</v>
      </c>
      <c r="AJ82" s="13">
        <f>$I$30*$AJ$30</f>
        <v>0</v>
      </c>
      <c r="AK82" s="13">
        <f>$I$30*$AK$30</f>
        <v>0</v>
      </c>
      <c r="AL82" s="13">
        <f>$I$30*$AL$30</f>
        <v>0</v>
      </c>
      <c r="AM82" s="13">
        <f>$I$30*$AM$30</f>
        <v>0</v>
      </c>
      <c r="AN82" s="13">
        <f>$I$30*$AN$30</f>
        <v>0</v>
      </c>
      <c r="AO82" s="13">
        <f>$I$30*$AO$30</f>
        <v>0</v>
      </c>
      <c r="AP82" s="13">
        <f>$I$30*$AP$30</f>
        <v>0</v>
      </c>
      <c r="AQ82" s="13">
        <f>$I$30*$AQ$30</f>
        <v>0</v>
      </c>
      <c r="AR82" s="13">
        <f>$I$30*$AR$30</f>
        <v>0</v>
      </c>
      <c r="AS82" s="13">
        <f>$I$30*$AS$30</f>
        <v>0</v>
      </c>
      <c r="AT82" s="13">
        <f>$I$30*$AT$30</f>
        <v>0</v>
      </c>
      <c r="AU82" s="13">
        <f>$I$30*$AU$30</f>
        <v>0</v>
      </c>
      <c r="AV82" s="13">
        <f>$I$30*$AV$30</f>
        <v>0</v>
      </c>
      <c r="AW82" s="13">
        <f>$I$30*$AW$30</f>
        <v>0</v>
      </c>
      <c r="AX82" s="13">
        <f>$I$30*$AX$30</f>
        <v>0</v>
      </c>
      <c r="AY82" s="13">
        <f>$I$30*$AY$30</f>
        <v>0</v>
      </c>
      <c r="AZ82" s="13">
        <f>$I$30*$AZ$30</f>
        <v>0</v>
      </c>
      <c r="BA82" s="13">
        <f>$I$30*$BA$30</f>
        <v>0</v>
      </c>
      <c r="BB82" s="13">
        <f>$I$30*$BB$30</f>
        <v>0</v>
      </c>
      <c r="BC82" s="13">
        <f>$I$30*$BC$30</f>
        <v>0</v>
      </c>
      <c r="BD82" s="13">
        <f>$I$30*$BD$30</f>
        <v>0</v>
      </c>
    </row>
    <row r="83" spans="1:56" ht="11.25" customHeight="1" x14ac:dyDescent="0.25">
      <c r="A83" s="9" t="s">
        <v>31</v>
      </c>
      <c r="B83" s="9" t="s">
        <v>661</v>
      </c>
      <c r="C83" s="9" t="s">
        <v>662</v>
      </c>
      <c r="D83" s="9" t="s">
        <v>663</v>
      </c>
      <c r="E83" s="9" t="s">
        <v>664</v>
      </c>
      <c r="F83" s="9" t="s">
        <v>665</v>
      </c>
      <c r="G83" s="9" t="s">
        <v>667</v>
      </c>
      <c r="L83" s="13">
        <f>$I$31*$L$31</f>
        <v>0</v>
      </c>
      <c r="M83" s="13">
        <f>$I$31*$M$31</f>
        <v>0</v>
      </c>
      <c r="N83" s="13">
        <f ca="1">$I$31*$N$31</f>
        <v>0</v>
      </c>
      <c r="O83" s="13">
        <f>$I$31*$O$31</f>
        <v>0</v>
      </c>
      <c r="P83" s="13">
        <f>$I$31*$P$31</f>
        <v>0</v>
      </c>
      <c r="Q83" s="13">
        <f>$I$31*$Q$31</f>
        <v>0</v>
      </c>
      <c r="R83" s="13">
        <f>$I$31*$R$31</f>
        <v>0</v>
      </c>
      <c r="S83" s="13">
        <f>$I$31*$S$31</f>
        <v>0</v>
      </c>
      <c r="T83" s="13">
        <f>$I$31*$T$31</f>
        <v>0</v>
      </c>
      <c r="U83" s="13">
        <f>$I$31*$U$31</f>
        <v>0</v>
      </c>
      <c r="V83" s="13">
        <f>$I$31*$V$31</f>
        <v>0</v>
      </c>
      <c r="W83" s="13">
        <f>$I$31*$W$31</f>
        <v>0</v>
      </c>
      <c r="X83" s="13">
        <f>$I$31*$X$31</f>
        <v>0</v>
      </c>
      <c r="Y83" s="13">
        <f>$I$31*$Y$31</f>
        <v>0</v>
      </c>
      <c r="Z83" s="13">
        <f>$I$31*$Z$31</f>
        <v>0</v>
      </c>
      <c r="AA83" s="13">
        <f>$I$31*$AA$31</f>
        <v>0</v>
      </c>
      <c r="AB83" s="13">
        <f ca="1">$I$31*$AB$31</f>
        <v>0</v>
      </c>
      <c r="AC83" s="13">
        <f ca="1">$I$31*$AC$31</f>
        <v>0</v>
      </c>
      <c r="AD83" s="13">
        <f>$I$31*$AD$31</f>
        <v>0</v>
      </c>
      <c r="AE83" s="13">
        <f>$I$31*$AE$31</f>
        <v>0</v>
      </c>
      <c r="AF83" s="13">
        <f ca="1">$I$31*$AF$31</f>
        <v>0</v>
      </c>
      <c r="AG83" s="13">
        <f ca="1">$I$31*$AG$31</f>
        <v>0</v>
      </c>
      <c r="AI83" s="13">
        <f>$I$31*$AI$31</f>
        <v>0</v>
      </c>
      <c r="AJ83" s="13">
        <f>$I$31*$AJ$31</f>
        <v>0</v>
      </c>
      <c r="AK83" s="13">
        <f>$I$31*$AK$31</f>
        <v>0</v>
      </c>
      <c r="AL83" s="13">
        <f>$I$31*$AL$31</f>
        <v>0</v>
      </c>
      <c r="AM83" s="13">
        <f>$I$31*$AM$31</f>
        <v>0</v>
      </c>
      <c r="AN83" s="13">
        <f>$I$31*$AN$31</f>
        <v>0</v>
      </c>
      <c r="AO83" s="13">
        <f>$I$31*$AO$31</f>
        <v>0</v>
      </c>
      <c r="AP83" s="13">
        <f>$I$31*$AP$31</f>
        <v>0</v>
      </c>
      <c r="AQ83" s="13">
        <f>$I$31*$AQ$31</f>
        <v>0</v>
      </c>
      <c r="AR83" s="13">
        <f>$I$31*$AR$31</f>
        <v>0</v>
      </c>
      <c r="AS83" s="13">
        <f>$I$31*$AS$31</f>
        <v>0</v>
      </c>
      <c r="AT83" s="13">
        <f>$I$31*$AT$31</f>
        <v>0</v>
      </c>
      <c r="AU83" s="13">
        <f>$I$31*$AU$31</f>
        <v>0</v>
      </c>
      <c r="AV83" s="13">
        <f>$I$31*$AV$31</f>
        <v>0</v>
      </c>
      <c r="AW83" s="13">
        <f>$I$31*$AW$31</f>
        <v>0</v>
      </c>
      <c r="AX83" s="13">
        <f>$I$31*$AX$31</f>
        <v>0</v>
      </c>
      <c r="AY83" s="13">
        <f>$I$31*$AY$31</f>
        <v>0</v>
      </c>
      <c r="AZ83" s="13">
        <f>$I$31*$AZ$31</f>
        <v>0</v>
      </c>
      <c r="BA83" s="13">
        <f>$I$31*$BA$31</f>
        <v>0</v>
      </c>
      <c r="BB83" s="13">
        <f>$I$31*$BB$31</f>
        <v>0</v>
      </c>
      <c r="BC83" s="13">
        <f>$I$31*$BC$31</f>
        <v>0</v>
      </c>
      <c r="BD83" s="13">
        <f>$I$31*$BD$31</f>
        <v>0</v>
      </c>
    </row>
    <row r="84" spans="1:56" ht="11.25" customHeight="1" x14ac:dyDescent="0.25">
      <c r="A84" s="9" t="s">
        <v>31</v>
      </c>
      <c r="B84" s="9" t="s">
        <v>661</v>
      </c>
      <c r="C84" s="9" t="s">
        <v>662</v>
      </c>
      <c r="D84" s="9" t="s">
        <v>663</v>
      </c>
      <c r="E84" s="9" t="s">
        <v>664</v>
      </c>
      <c r="F84" s="9" t="s">
        <v>665</v>
      </c>
      <c r="G84" s="9" t="s">
        <v>668</v>
      </c>
      <c r="L84" s="13">
        <f>$I$32*$L$32</f>
        <v>0</v>
      </c>
      <c r="M84" s="13">
        <f>$I$32*$M$32</f>
        <v>0</v>
      </c>
      <c r="N84" s="13">
        <f ca="1">$I$32*$N$32</f>
        <v>0</v>
      </c>
      <c r="O84" s="13">
        <f>$I$32*$O$32</f>
        <v>0</v>
      </c>
      <c r="P84" s="13">
        <f>$I$32*$P$32</f>
        <v>0</v>
      </c>
      <c r="Q84" s="13">
        <f>$I$32*$Q$32</f>
        <v>0</v>
      </c>
      <c r="R84" s="13">
        <f>$I$32*$R$32</f>
        <v>0</v>
      </c>
      <c r="S84" s="13">
        <f>$I$32*$S$32</f>
        <v>0</v>
      </c>
      <c r="T84" s="13">
        <f>$I$32*$T$32</f>
        <v>0</v>
      </c>
      <c r="U84" s="13">
        <f>$I$32*$U$32</f>
        <v>0</v>
      </c>
      <c r="V84" s="13">
        <f>$I$32*$V$32</f>
        <v>0</v>
      </c>
      <c r="W84" s="13">
        <f>$I$32*$W$32</f>
        <v>0</v>
      </c>
      <c r="X84" s="13">
        <f>$I$32*$X$32</f>
        <v>0</v>
      </c>
      <c r="Y84" s="13">
        <f>$I$32*$Y$32</f>
        <v>0</v>
      </c>
      <c r="Z84" s="13">
        <f>$I$32*$Z$32</f>
        <v>0</v>
      </c>
      <c r="AA84" s="13">
        <f>$I$32*$AA$32</f>
        <v>0</v>
      </c>
      <c r="AB84" s="13">
        <f ca="1">$I$32*$AB$32</f>
        <v>0</v>
      </c>
      <c r="AC84" s="13">
        <f ca="1">$I$32*$AC$32</f>
        <v>0</v>
      </c>
      <c r="AD84" s="13">
        <f>$I$32*$AD$32</f>
        <v>0</v>
      </c>
      <c r="AE84" s="13">
        <f>$I$32*$AE$32</f>
        <v>0</v>
      </c>
      <c r="AF84" s="13">
        <f ca="1">$I$32*$AF$32</f>
        <v>0</v>
      </c>
      <c r="AG84" s="13">
        <f ca="1">$I$32*$AG$32</f>
        <v>0</v>
      </c>
      <c r="AI84" s="13">
        <f>$I$32*$AI$32</f>
        <v>0</v>
      </c>
      <c r="AJ84" s="13">
        <f>$I$32*$AJ$32</f>
        <v>0</v>
      </c>
      <c r="AK84" s="13">
        <f>$I$32*$AK$32</f>
        <v>0</v>
      </c>
      <c r="AL84" s="13">
        <f>$I$32*$AL$32</f>
        <v>0</v>
      </c>
      <c r="AM84" s="13">
        <f>$I$32*$AM$32</f>
        <v>0</v>
      </c>
      <c r="AN84" s="13">
        <f>$I$32*$AN$32</f>
        <v>0</v>
      </c>
      <c r="AO84" s="13">
        <f>$I$32*$AO$32</f>
        <v>0</v>
      </c>
      <c r="AP84" s="13">
        <f>$I$32*$AP$32</f>
        <v>0</v>
      </c>
      <c r="AQ84" s="13">
        <f>$I$32*$AQ$32</f>
        <v>0</v>
      </c>
      <c r="AR84" s="13">
        <f>$I$32*$AR$32</f>
        <v>0</v>
      </c>
      <c r="AS84" s="13">
        <f>$I$32*$AS$32</f>
        <v>0</v>
      </c>
      <c r="AT84" s="13">
        <f>$I$32*$AT$32</f>
        <v>0</v>
      </c>
      <c r="AU84" s="13">
        <f>$I$32*$AU$32</f>
        <v>0</v>
      </c>
      <c r="AV84" s="13">
        <f>$I$32*$AV$32</f>
        <v>0</v>
      </c>
      <c r="AW84" s="13">
        <f>$I$32*$AW$32</f>
        <v>0</v>
      </c>
      <c r="AX84" s="13">
        <f>$I$32*$AX$32</f>
        <v>0</v>
      </c>
      <c r="AY84" s="13">
        <f>$I$32*$AY$32</f>
        <v>0</v>
      </c>
      <c r="AZ84" s="13">
        <f>$I$32*$AZ$32</f>
        <v>0</v>
      </c>
      <c r="BA84" s="13">
        <f>$I$32*$BA$32</f>
        <v>0</v>
      </c>
      <c r="BB84" s="13">
        <f>$I$32*$BB$32</f>
        <v>0</v>
      </c>
      <c r="BC84" s="13">
        <f>$I$32*$BC$32</f>
        <v>0</v>
      </c>
      <c r="BD84" s="13">
        <f>$I$32*$BD$32</f>
        <v>0</v>
      </c>
    </row>
    <row r="85" spans="1:56" ht="11.25" customHeight="1" x14ac:dyDescent="0.25">
      <c r="A85" s="9" t="s">
        <v>31</v>
      </c>
      <c r="B85" s="9" t="s">
        <v>669</v>
      </c>
      <c r="C85" s="9" t="s">
        <v>670</v>
      </c>
      <c r="D85" s="9" t="s">
        <v>671</v>
      </c>
      <c r="E85" s="9" t="s">
        <v>672</v>
      </c>
      <c r="F85" s="9" t="s">
        <v>673</v>
      </c>
      <c r="G85" s="9" t="s">
        <v>674</v>
      </c>
      <c r="L85" s="13">
        <f>$I$33*$L$33</f>
        <v>180219.64839353893</v>
      </c>
      <c r="M85" s="13">
        <f>$I$33*$M$33</f>
        <v>13004.220171595362</v>
      </c>
      <c r="N85" s="13">
        <f ca="1">$I$33*$N$33</f>
        <v>0</v>
      </c>
      <c r="O85" s="13">
        <f>$I$33*$O$33</f>
        <v>0</v>
      </c>
      <c r="P85" s="13">
        <f>$I$33*$P$33</f>
        <v>0</v>
      </c>
      <c r="Q85" s="13">
        <f>$I$33*$Q$33</f>
        <v>516372.38735208585</v>
      </c>
      <c r="R85" s="13">
        <f>$I$33*$R$33</f>
        <v>81686.75610280926</v>
      </c>
      <c r="S85" s="13">
        <f>$I$33*$S$33</f>
        <v>0</v>
      </c>
      <c r="T85" s="13">
        <f>$I$33*$T$33</f>
        <v>0</v>
      </c>
      <c r="U85" s="13">
        <f>$I$33*$U$33</f>
        <v>0</v>
      </c>
      <c r="V85" s="13">
        <f>$I$33*$V$33</f>
        <v>0</v>
      </c>
      <c r="W85" s="13">
        <f>$I$33*$W$33</f>
        <v>0</v>
      </c>
      <c r="X85" s="13">
        <f>$I$33*$X$33</f>
        <v>911131.08369549026</v>
      </c>
      <c r="Y85" s="13">
        <f>$I$33*$Y$33</f>
        <v>0</v>
      </c>
      <c r="Z85" s="13">
        <f>$I$33*$Z$33</f>
        <v>0</v>
      </c>
      <c r="AA85" s="13">
        <f>$I$33*$AA$33</f>
        <v>1049070.0434190398</v>
      </c>
      <c r="AB85" s="13">
        <f ca="1">$I$33*$AB$33</f>
        <v>0</v>
      </c>
      <c r="AC85" s="13">
        <f ca="1">$I$33*$AC$33</f>
        <v>0</v>
      </c>
      <c r="AD85" s="13">
        <f>$I$33*$AD$33</f>
        <v>72578.504158867479</v>
      </c>
      <c r="AE85" s="13">
        <f>$I$33*$AE$33</f>
        <v>0</v>
      </c>
      <c r="AF85" s="13">
        <f ca="1">$I$33*$AF$33</f>
        <v>0</v>
      </c>
      <c r="AG85" s="13">
        <f ca="1">$I$33*$AG$33</f>
        <v>0</v>
      </c>
      <c r="AI85" s="13">
        <f>$I$33*$AI$33</f>
        <v>176228.53327002047</v>
      </c>
      <c r="AJ85" s="13">
        <f>$I$33*$AJ$33</f>
        <v>8450.0117646163435</v>
      </c>
      <c r="AK85" s="13">
        <f>$I$33*$AK$33</f>
        <v>0</v>
      </c>
      <c r="AL85" s="13">
        <f>$I$33*$AL$33</f>
        <v>0</v>
      </c>
      <c r="AM85" s="13">
        <f>$I$33*$AM$33</f>
        <v>0</v>
      </c>
      <c r="AN85" s="13">
        <f>$I$33*$AN$33</f>
        <v>272379.52037397673</v>
      </c>
      <c r="AO85" s="13">
        <f>$I$33*$AO$33</f>
        <v>43592.16503091155</v>
      </c>
      <c r="AP85" s="13">
        <f>$I$33*$AP$33</f>
        <v>0</v>
      </c>
      <c r="AQ85" s="13">
        <f>$I$33*$AQ$33</f>
        <v>0</v>
      </c>
      <c r="AR85" s="13">
        <f>$I$33*$AR$33</f>
        <v>0</v>
      </c>
      <c r="AS85" s="13">
        <f>$I$33*$AS$33</f>
        <v>0</v>
      </c>
      <c r="AT85" s="13">
        <f>$I$33*$AT$33</f>
        <v>0</v>
      </c>
      <c r="AU85" s="13">
        <f>$I$33*$AU$33</f>
        <v>728001.85699649295</v>
      </c>
      <c r="AV85" s="13">
        <f>$I$33*$AV$33</f>
        <v>0</v>
      </c>
      <c r="AW85" s="13">
        <f>$I$33*$AW$33</f>
        <v>0</v>
      </c>
      <c r="AX85" s="13">
        <f>$I$33*$AX$33</f>
        <v>765799.85399323388</v>
      </c>
      <c r="AY85" s="13">
        <f>$I$33*$AY$33</f>
        <v>0</v>
      </c>
      <c r="AZ85" s="13">
        <f>$I$33*$AZ$33</f>
        <v>0</v>
      </c>
      <c r="BA85" s="13">
        <f>$I$33*$BA$33</f>
        <v>98729.097109784372</v>
      </c>
      <c r="BB85" s="13">
        <f>$I$33*$BB$33</f>
        <v>0</v>
      </c>
      <c r="BC85" s="13">
        <f>$I$33*$BC$33</f>
        <v>0</v>
      </c>
      <c r="BD85" s="13">
        <f>$I$33*$BD$33</f>
        <v>0</v>
      </c>
    </row>
    <row r="86" spans="1:56" ht="11.25" customHeight="1" x14ac:dyDescent="0.25">
      <c r="A86" s="9" t="s">
        <v>31</v>
      </c>
      <c r="B86" s="9" t="s">
        <v>661</v>
      </c>
      <c r="C86" s="9" t="s">
        <v>662</v>
      </c>
      <c r="D86" s="9" t="s">
        <v>675</v>
      </c>
      <c r="E86" s="9" t="s">
        <v>676</v>
      </c>
      <c r="F86" s="9" t="s">
        <v>677</v>
      </c>
      <c r="G86" s="9" t="s">
        <v>678</v>
      </c>
      <c r="L86" s="13">
        <f>$I$34*$L$34</f>
        <v>0</v>
      </c>
      <c r="M86" s="13">
        <f>$I$34*$M$34</f>
        <v>0</v>
      </c>
      <c r="N86" s="13">
        <f ca="1">$I$34*$N$34</f>
        <v>0</v>
      </c>
      <c r="O86" s="13">
        <f>$I$34*$O$34</f>
        <v>0</v>
      </c>
      <c r="P86" s="13">
        <f>$I$34*$P$34</f>
        <v>0</v>
      </c>
      <c r="Q86" s="13">
        <f>$I$34*$Q$34</f>
        <v>0</v>
      </c>
      <c r="R86" s="13">
        <f>$I$34*$R$34</f>
        <v>0</v>
      </c>
      <c r="S86" s="13">
        <f>$I$34*$S$34</f>
        <v>0</v>
      </c>
      <c r="T86" s="13">
        <f>$I$34*$T$34</f>
        <v>0</v>
      </c>
      <c r="U86" s="13">
        <f>$I$34*$U$34</f>
        <v>0</v>
      </c>
      <c r="V86" s="13">
        <f>$I$34*$V$34</f>
        <v>0</v>
      </c>
      <c r="W86" s="13">
        <f>$I$34*$W$34</f>
        <v>0</v>
      </c>
      <c r="X86" s="13">
        <f>$I$34*$X$34</f>
        <v>0</v>
      </c>
      <c r="Y86" s="13">
        <f>$I$34*$Y$34</f>
        <v>0</v>
      </c>
      <c r="Z86" s="13">
        <f>$I$34*$Z$34</f>
        <v>0</v>
      </c>
      <c r="AA86" s="13">
        <f>$I$34*$AA$34</f>
        <v>0</v>
      </c>
      <c r="AB86" s="13">
        <f ca="1">$I$34*$AB$34</f>
        <v>0</v>
      </c>
      <c r="AC86" s="13">
        <f ca="1">$I$34*$AC$34</f>
        <v>0</v>
      </c>
      <c r="AD86" s="13">
        <f>$I$34*$AD$34</f>
        <v>0</v>
      </c>
      <c r="AE86" s="13">
        <f>$I$34*$AE$34</f>
        <v>0</v>
      </c>
      <c r="AF86" s="13">
        <f ca="1">$I$34*$AF$34</f>
        <v>0</v>
      </c>
      <c r="AG86" s="13">
        <f ca="1">$I$34*$AG$34</f>
        <v>0</v>
      </c>
      <c r="AI86" s="13">
        <f>$I$34*$AI$34</f>
        <v>0</v>
      </c>
      <c r="AJ86" s="13">
        <f>$I$34*$AJ$34</f>
        <v>0</v>
      </c>
      <c r="AK86" s="13">
        <f>$I$34*$AK$34</f>
        <v>0</v>
      </c>
      <c r="AL86" s="13">
        <f>$I$34*$AL$34</f>
        <v>0</v>
      </c>
      <c r="AM86" s="13">
        <f>$I$34*$AM$34</f>
        <v>0</v>
      </c>
      <c r="AN86" s="13">
        <f>$I$34*$AN$34</f>
        <v>0</v>
      </c>
      <c r="AO86" s="13">
        <f>$I$34*$AO$34</f>
        <v>0</v>
      </c>
      <c r="AP86" s="13">
        <f>$I$34*$AP$34</f>
        <v>0</v>
      </c>
      <c r="AQ86" s="13">
        <f>$I$34*$AQ$34</f>
        <v>0</v>
      </c>
      <c r="AR86" s="13">
        <f>$I$34*$AR$34</f>
        <v>0</v>
      </c>
      <c r="AS86" s="13">
        <f>$I$34*$AS$34</f>
        <v>0</v>
      </c>
      <c r="AT86" s="13">
        <f>$I$34*$AT$34</f>
        <v>0</v>
      </c>
      <c r="AU86" s="13">
        <f>$I$34*$AU$34</f>
        <v>0</v>
      </c>
      <c r="AV86" s="13">
        <f>$I$34*$AV$34</f>
        <v>0</v>
      </c>
      <c r="AW86" s="13">
        <f>$I$34*$AW$34</f>
        <v>0</v>
      </c>
      <c r="AX86" s="13">
        <f>$I$34*$AX$34</f>
        <v>0</v>
      </c>
      <c r="AY86" s="13">
        <f>$I$34*$AY$34</f>
        <v>0</v>
      </c>
      <c r="AZ86" s="13">
        <f>$I$34*$AZ$34</f>
        <v>0</v>
      </c>
      <c r="BA86" s="13">
        <f>$I$34*$BA$34</f>
        <v>0</v>
      </c>
      <c r="BB86" s="13">
        <f>$I$34*$BB$34</f>
        <v>0</v>
      </c>
      <c r="BC86" s="13">
        <f>$I$34*$BC$34</f>
        <v>0</v>
      </c>
      <c r="BD86" s="13">
        <f>$I$34*$BD$34</f>
        <v>0</v>
      </c>
    </row>
    <row r="87" spans="1:56" ht="11.25" customHeight="1" x14ac:dyDescent="0.25">
      <c r="A87" s="9" t="s">
        <v>31</v>
      </c>
      <c r="B87" s="9" t="s">
        <v>661</v>
      </c>
      <c r="C87" s="9" t="s">
        <v>662</v>
      </c>
      <c r="D87" s="9" t="s">
        <v>675</v>
      </c>
      <c r="E87" s="9" t="s">
        <v>676</v>
      </c>
      <c r="F87" s="9" t="s">
        <v>677</v>
      </c>
      <c r="G87" s="9" t="s">
        <v>679</v>
      </c>
      <c r="L87" s="13">
        <f>$I$35*$L$35</f>
        <v>0</v>
      </c>
      <c r="M87" s="13">
        <f>$I$35*$M$35</f>
        <v>0</v>
      </c>
      <c r="N87" s="13">
        <f ca="1">$I$35*$N$35</f>
        <v>0</v>
      </c>
      <c r="O87" s="13">
        <f>$I$35*$O$35</f>
        <v>0</v>
      </c>
      <c r="P87" s="13">
        <f>$I$35*$P$35</f>
        <v>0</v>
      </c>
      <c r="Q87" s="13">
        <f>$I$35*$Q$35</f>
        <v>0</v>
      </c>
      <c r="R87" s="13">
        <f>$I$35*$R$35</f>
        <v>0</v>
      </c>
      <c r="S87" s="13">
        <f>$I$35*$S$35</f>
        <v>0</v>
      </c>
      <c r="T87" s="13">
        <f>$I$35*$T$35</f>
        <v>0</v>
      </c>
      <c r="U87" s="13">
        <f>$I$35*$U$35</f>
        <v>0</v>
      </c>
      <c r="V87" s="13">
        <f>$I$35*$V$35</f>
        <v>0</v>
      </c>
      <c r="W87" s="13">
        <f>$I$35*$W$35</f>
        <v>0</v>
      </c>
      <c r="X87" s="13">
        <f>$I$35*$X$35</f>
        <v>0</v>
      </c>
      <c r="Y87" s="13">
        <f>$I$35*$Y$35</f>
        <v>0</v>
      </c>
      <c r="Z87" s="13">
        <f>$I$35*$Z$35</f>
        <v>0</v>
      </c>
      <c r="AA87" s="13">
        <f>$I$35*$AA$35</f>
        <v>0</v>
      </c>
      <c r="AB87" s="13">
        <f ca="1">$I$35*$AB$35</f>
        <v>0</v>
      </c>
      <c r="AC87" s="13">
        <f ca="1">$I$35*$AC$35</f>
        <v>0</v>
      </c>
      <c r="AD87" s="13">
        <f>$I$35*$AD$35</f>
        <v>0</v>
      </c>
      <c r="AE87" s="13">
        <f>$I$35*$AE$35</f>
        <v>0</v>
      </c>
      <c r="AF87" s="13">
        <f ca="1">$I$35*$AF$35</f>
        <v>0</v>
      </c>
      <c r="AG87" s="13">
        <f ca="1">$I$35*$AG$35</f>
        <v>0</v>
      </c>
      <c r="AI87" s="13">
        <f>$I$35*$AI$35</f>
        <v>0</v>
      </c>
      <c r="AJ87" s="13">
        <f>$I$35*$AJ$35</f>
        <v>0</v>
      </c>
      <c r="AK87" s="13">
        <f>$I$35*$AK$35</f>
        <v>0</v>
      </c>
      <c r="AL87" s="13">
        <f>$I$35*$AL$35</f>
        <v>0</v>
      </c>
      <c r="AM87" s="13">
        <f>$I$35*$AM$35</f>
        <v>0</v>
      </c>
      <c r="AN87" s="13">
        <f>$I$35*$AN$35</f>
        <v>0</v>
      </c>
      <c r="AO87" s="13">
        <f>$I$35*$AO$35</f>
        <v>0</v>
      </c>
      <c r="AP87" s="13">
        <f>$I$35*$AP$35</f>
        <v>0</v>
      </c>
      <c r="AQ87" s="13">
        <f>$I$35*$AQ$35</f>
        <v>0</v>
      </c>
      <c r="AR87" s="13">
        <f>$I$35*$AR$35</f>
        <v>0</v>
      </c>
      <c r="AS87" s="13">
        <f>$I$35*$AS$35</f>
        <v>0</v>
      </c>
      <c r="AT87" s="13">
        <f>$I$35*$AT$35</f>
        <v>0</v>
      </c>
      <c r="AU87" s="13">
        <f>$I$35*$AU$35</f>
        <v>0</v>
      </c>
      <c r="AV87" s="13">
        <f>$I$35*$AV$35</f>
        <v>0</v>
      </c>
      <c r="AW87" s="13">
        <f>$I$35*$AW$35</f>
        <v>0</v>
      </c>
      <c r="AX87" s="13">
        <f>$I$35*$AX$35</f>
        <v>0</v>
      </c>
      <c r="AY87" s="13">
        <f>$I$35*$AY$35</f>
        <v>0</v>
      </c>
      <c r="AZ87" s="13">
        <f>$I$35*$AZ$35</f>
        <v>0</v>
      </c>
      <c r="BA87" s="13">
        <f>$I$35*$BA$35</f>
        <v>0</v>
      </c>
      <c r="BB87" s="13">
        <f>$I$35*$BB$35</f>
        <v>0</v>
      </c>
      <c r="BC87" s="13">
        <f>$I$35*$BC$35</f>
        <v>0</v>
      </c>
      <c r="BD87" s="13">
        <f>$I$35*$BD$35</f>
        <v>0</v>
      </c>
    </row>
    <row r="88" spans="1:56" ht="11.25" customHeight="1" x14ac:dyDescent="0.25">
      <c r="A88" s="9" t="s">
        <v>31</v>
      </c>
      <c r="B88" s="9" t="s">
        <v>661</v>
      </c>
      <c r="C88" s="9" t="s">
        <v>662</v>
      </c>
      <c r="D88" s="9" t="s">
        <v>675</v>
      </c>
      <c r="E88" s="9" t="s">
        <v>676</v>
      </c>
      <c r="F88" s="9" t="s">
        <v>677</v>
      </c>
      <c r="G88" s="9" t="s">
        <v>680</v>
      </c>
      <c r="L88" s="13">
        <f>$I$36*$L$36</f>
        <v>0</v>
      </c>
      <c r="M88" s="13">
        <f>$I$36*$M$36</f>
        <v>0</v>
      </c>
      <c r="N88" s="13">
        <f ca="1">$I$36*$N$36</f>
        <v>0</v>
      </c>
      <c r="O88" s="13">
        <f>$I$36*$O$36</f>
        <v>0</v>
      </c>
      <c r="P88" s="13">
        <f>$I$36*$P$36</f>
        <v>0</v>
      </c>
      <c r="Q88" s="13">
        <f>$I$36*$Q$36</f>
        <v>0</v>
      </c>
      <c r="R88" s="13">
        <f>$I$36*$R$36</f>
        <v>0</v>
      </c>
      <c r="S88" s="13">
        <f>$I$36*$S$36</f>
        <v>0</v>
      </c>
      <c r="T88" s="13">
        <f>$I$36*$T$36</f>
        <v>0</v>
      </c>
      <c r="U88" s="13">
        <f>$I$36*$U$36</f>
        <v>0</v>
      </c>
      <c r="V88" s="13">
        <f>$I$36*$V$36</f>
        <v>0</v>
      </c>
      <c r="W88" s="13">
        <f>$I$36*$W$36</f>
        <v>0</v>
      </c>
      <c r="X88" s="13">
        <f>$I$36*$X$36</f>
        <v>0</v>
      </c>
      <c r="Y88" s="13">
        <f>$I$36*$Y$36</f>
        <v>0</v>
      </c>
      <c r="Z88" s="13">
        <f>$I$36*$Z$36</f>
        <v>0</v>
      </c>
      <c r="AA88" s="13">
        <f>$I$36*$AA$36</f>
        <v>0</v>
      </c>
      <c r="AB88" s="13">
        <f ca="1">$I$36*$AB$36</f>
        <v>0</v>
      </c>
      <c r="AC88" s="13">
        <f ca="1">$I$36*$AC$36</f>
        <v>0</v>
      </c>
      <c r="AD88" s="13">
        <f>$I$36*$AD$36</f>
        <v>0</v>
      </c>
      <c r="AE88" s="13">
        <f>$I$36*$AE$36</f>
        <v>0</v>
      </c>
      <c r="AF88" s="13">
        <f ca="1">$I$36*$AF$36</f>
        <v>0</v>
      </c>
      <c r="AG88" s="13">
        <f ca="1">$I$36*$AG$36</f>
        <v>0</v>
      </c>
      <c r="AI88" s="13">
        <f>$I$36*$AI$36</f>
        <v>0</v>
      </c>
      <c r="AJ88" s="13">
        <f>$I$36*$AJ$36</f>
        <v>0</v>
      </c>
      <c r="AK88" s="13">
        <f>$I$36*$AK$36</f>
        <v>0</v>
      </c>
      <c r="AL88" s="13">
        <f>$I$36*$AL$36</f>
        <v>0</v>
      </c>
      <c r="AM88" s="13">
        <f>$I$36*$AM$36</f>
        <v>0</v>
      </c>
      <c r="AN88" s="13">
        <f>$I$36*$AN$36</f>
        <v>0</v>
      </c>
      <c r="AO88" s="13">
        <f>$I$36*$AO$36</f>
        <v>0</v>
      </c>
      <c r="AP88" s="13">
        <f>$I$36*$AP$36</f>
        <v>0</v>
      </c>
      <c r="AQ88" s="13">
        <f>$I$36*$AQ$36</f>
        <v>0</v>
      </c>
      <c r="AR88" s="13">
        <f>$I$36*$AR$36</f>
        <v>0</v>
      </c>
      <c r="AS88" s="13">
        <f>$I$36*$AS$36</f>
        <v>0</v>
      </c>
      <c r="AT88" s="13">
        <f>$I$36*$AT$36</f>
        <v>0</v>
      </c>
      <c r="AU88" s="13">
        <f>$I$36*$AU$36</f>
        <v>0</v>
      </c>
      <c r="AV88" s="13">
        <f>$I$36*$AV$36</f>
        <v>0</v>
      </c>
      <c r="AW88" s="13">
        <f>$I$36*$AW$36</f>
        <v>0</v>
      </c>
      <c r="AX88" s="13">
        <f>$I$36*$AX$36</f>
        <v>0</v>
      </c>
      <c r="AY88" s="13">
        <f>$I$36*$AY$36</f>
        <v>0</v>
      </c>
      <c r="AZ88" s="13">
        <f>$I$36*$AZ$36</f>
        <v>0</v>
      </c>
      <c r="BA88" s="13">
        <f>$I$36*$BA$36</f>
        <v>0</v>
      </c>
      <c r="BB88" s="13">
        <f>$I$36*$BB$36</f>
        <v>0</v>
      </c>
      <c r="BC88" s="13">
        <f>$I$36*$BC$36</f>
        <v>0</v>
      </c>
      <c r="BD88" s="13">
        <f>$I$36*$BD$36</f>
        <v>0</v>
      </c>
    </row>
    <row r="89" spans="1:56" ht="11.25" customHeight="1" x14ac:dyDescent="0.25">
      <c r="A89" s="9" t="s">
        <v>31</v>
      </c>
      <c r="B89" s="9" t="s">
        <v>669</v>
      </c>
      <c r="C89" s="9" t="s">
        <v>670</v>
      </c>
      <c r="D89" s="9" t="s">
        <v>681</v>
      </c>
      <c r="E89" s="9" t="s">
        <v>682</v>
      </c>
      <c r="F89" s="9" t="s">
        <v>683</v>
      </c>
      <c r="G89" s="9" t="s">
        <v>684</v>
      </c>
      <c r="L89" s="13">
        <f>$I$37*$L$37</f>
        <v>0</v>
      </c>
      <c r="M89" s="13">
        <f>$I$37*$M$37</f>
        <v>0</v>
      </c>
      <c r="N89" s="13">
        <f ca="1">$I$37*$N$37</f>
        <v>0</v>
      </c>
      <c r="O89" s="13">
        <f>$I$37*$O$37</f>
        <v>0</v>
      </c>
      <c r="P89" s="13">
        <f>$I$37*$P$37</f>
        <v>0</v>
      </c>
      <c r="Q89" s="13">
        <f>$I$37*$Q$37</f>
        <v>0</v>
      </c>
      <c r="R89" s="13">
        <f>$I$37*$R$37</f>
        <v>0</v>
      </c>
      <c r="S89" s="13">
        <f>$I$37*$S$37</f>
        <v>0</v>
      </c>
      <c r="T89" s="13">
        <f>$I$37*$T$37</f>
        <v>0</v>
      </c>
      <c r="U89" s="13">
        <f>$I$37*$U$37</f>
        <v>0</v>
      </c>
      <c r="V89" s="13">
        <f>$I$37*$V$37</f>
        <v>0</v>
      </c>
      <c r="W89" s="13">
        <f>$I$37*$W$37</f>
        <v>0</v>
      </c>
      <c r="X89" s="13">
        <f>$I$37*$X$37</f>
        <v>0</v>
      </c>
      <c r="Y89" s="13">
        <f>$I$37*$Y$37</f>
        <v>0</v>
      </c>
      <c r="Z89" s="13">
        <f>$I$37*$Z$37</f>
        <v>0</v>
      </c>
      <c r="AA89" s="13">
        <f>$I$37*$AA$37</f>
        <v>0</v>
      </c>
      <c r="AB89" s="13">
        <f ca="1">$I$37*$AB$37</f>
        <v>0</v>
      </c>
      <c r="AC89" s="13">
        <f ca="1">$I$37*$AC$37</f>
        <v>0</v>
      </c>
      <c r="AD89" s="13">
        <f>$I$37*$AD$37</f>
        <v>0</v>
      </c>
      <c r="AE89" s="13">
        <f>$I$37*$AE$37</f>
        <v>0</v>
      </c>
      <c r="AF89" s="13">
        <f ca="1">$I$37*$AF$37</f>
        <v>0</v>
      </c>
      <c r="AG89" s="13">
        <f ca="1">$I$37*$AG$37</f>
        <v>0</v>
      </c>
      <c r="AI89" s="13">
        <f>$I$37*$AI$37</f>
        <v>0</v>
      </c>
      <c r="AJ89" s="13">
        <f>$I$37*$AJ$37</f>
        <v>0</v>
      </c>
      <c r="AK89" s="13">
        <f>$I$37*$AK$37</f>
        <v>0</v>
      </c>
      <c r="AL89" s="13">
        <f>$I$37*$AL$37</f>
        <v>0</v>
      </c>
      <c r="AM89" s="13">
        <f>$I$37*$AM$37</f>
        <v>0</v>
      </c>
      <c r="AN89" s="13">
        <f>$I$37*$AN$37</f>
        <v>0</v>
      </c>
      <c r="AO89" s="13">
        <f>$I$37*$AO$37</f>
        <v>0</v>
      </c>
      <c r="AP89" s="13">
        <f>$I$37*$AP$37</f>
        <v>0</v>
      </c>
      <c r="AQ89" s="13">
        <f>$I$37*$AQ$37</f>
        <v>0</v>
      </c>
      <c r="AR89" s="13">
        <f>$I$37*$AR$37</f>
        <v>0</v>
      </c>
      <c r="AS89" s="13">
        <f>$I$37*$AS$37</f>
        <v>0</v>
      </c>
      <c r="AT89" s="13">
        <f>$I$37*$AT$37</f>
        <v>0</v>
      </c>
      <c r="AU89" s="13">
        <f>$I$37*$AU$37</f>
        <v>0</v>
      </c>
      <c r="AV89" s="13">
        <f>$I$37*$AV$37</f>
        <v>0</v>
      </c>
      <c r="AW89" s="13">
        <f>$I$37*$AW$37</f>
        <v>0</v>
      </c>
      <c r="AX89" s="13">
        <f>$I$37*$AX$37</f>
        <v>0</v>
      </c>
      <c r="AY89" s="13">
        <f>$I$37*$AY$37</f>
        <v>0</v>
      </c>
      <c r="AZ89" s="13">
        <f>$I$37*$AZ$37</f>
        <v>0</v>
      </c>
      <c r="BA89" s="13">
        <f>$I$37*$BA$37</f>
        <v>0</v>
      </c>
      <c r="BB89" s="13">
        <f>$I$37*$BB$37</f>
        <v>0</v>
      </c>
      <c r="BC89" s="13">
        <f>$I$37*$BC$37</f>
        <v>0</v>
      </c>
      <c r="BD89" s="13">
        <f>$I$37*$BD$37</f>
        <v>0</v>
      </c>
    </row>
    <row r="90" spans="1:56" ht="11.25" customHeight="1" x14ac:dyDescent="0.25">
      <c r="A90" s="9" t="s">
        <v>31</v>
      </c>
      <c r="B90" s="9" t="s">
        <v>661</v>
      </c>
      <c r="C90" s="9" t="s">
        <v>662</v>
      </c>
      <c r="D90" s="9" t="s">
        <v>685</v>
      </c>
      <c r="E90" s="9" t="s">
        <v>686</v>
      </c>
      <c r="F90" s="9" t="s">
        <v>687</v>
      </c>
      <c r="G90" s="9" t="s">
        <v>688</v>
      </c>
      <c r="L90" s="13">
        <f>$I$38*$L$38</f>
        <v>0</v>
      </c>
      <c r="M90" s="13">
        <f>$I$38*$M$38</f>
        <v>0</v>
      </c>
      <c r="N90" s="13">
        <f ca="1">$I$38*$N$38</f>
        <v>0</v>
      </c>
      <c r="O90" s="13">
        <f>$I$38*$O$38</f>
        <v>0</v>
      </c>
      <c r="P90" s="13">
        <f>$I$38*$P$38</f>
        <v>0</v>
      </c>
      <c r="Q90" s="13">
        <f>$I$38*$Q$38</f>
        <v>0</v>
      </c>
      <c r="R90" s="13">
        <f>$I$38*$R$38</f>
        <v>0</v>
      </c>
      <c r="S90" s="13">
        <f>$I$38*$S$38</f>
        <v>0</v>
      </c>
      <c r="T90" s="13">
        <f>$I$38*$T$38</f>
        <v>0</v>
      </c>
      <c r="U90" s="13">
        <f>$I$38*$U$38</f>
        <v>0</v>
      </c>
      <c r="V90" s="13">
        <f>$I$38*$V$38</f>
        <v>0</v>
      </c>
      <c r="W90" s="13">
        <f>$I$38*$W$38</f>
        <v>0</v>
      </c>
      <c r="X90" s="13">
        <f>$I$38*$X$38</f>
        <v>0</v>
      </c>
      <c r="Y90" s="13">
        <f>$I$38*$Y$38</f>
        <v>0</v>
      </c>
      <c r="Z90" s="13">
        <f>$I$38*$Z$38</f>
        <v>0</v>
      </c>
      <c r="AA90" s="13">
        <f>$I$38*$AA$38</f>
        <v>0</v>
      </c>
      <c r="AB90" s="13">
        <f ca="1">$I$38*$AB$38</f>
        <v>0</v>
      </c>
      <c r="AC90" s="13">
        <f ca="1">$I$38*$AC$38</f>
        <v>0</v>
      </c>
      <c r="AD90" s="13">
        <f>$I$38*$AD$38</f>
        <v>0</v>
      </c>
      <c r="AE90" s="13">
        <f>$I$38*$AE$38</f>
        <v>0</v>
      </c>
      <c r="AF90" s="13">
        <f ca="1">$I$38*$AF$38</f>
        <v>0</v>
      </c>
      <c r="AG90" s="13">
        <f ca="1">$I$38*$AG$38</f>
        <v>0</v>
      </c>
      <c r="AI90" s="13">
        <f>$I$38*$AI$38</f>
        <v>0</v>
      </c>
      <c r="AJ90" s="13">
        <f>$I$38*$AJ$38</f>
        <v>0</v>
      </c>
      <c r="AK90" s="13">
        <f>$I$38*$AK$38</f>
        <v>0</v>
      </c>
      <c r="AL90" s="13">
        <f>$I$38*$AL$38</f>
        <v>0</v>
      </c>
      <c r="AM90" s="13">
        <f>$I$38*$AM$38</f>
        <v>0</v>
      </c>
      <c r="AN90" s="13">
        <f>$I$38*$AN$38</f>
        <v>0</v>
      </c>
      <c r="AO90" s="13">
        <f>$I$38*$AO$38</f>
        <v>0</v>
      </c>
      <c r="AP90" s="13">
        <f>$I$38*$AP$38</f>
        <v>0</v>
      </c>
      <c r="AQ90" s="13">
        <f>$I$38*$AQ$38</f>
        <v>0</v>
      </c>
      <c r="AR90" s="13">
        <f>$I$38*$AR$38</f>
        <v>0</v>
      </c>
      <c r="AS90" s="13">
        <f>$I$38*$AS$38</f>
        <v>0</v>
      </c>
      <c r="AT90" s="13">
        <f>$I$38*$AT$38</f>
        <v>0</v>
      </c>
      <c r="AU90" s="13">
        <f>$I$38*$AU$38</f>
        <v>0</v>
      </c>
      <c r="AV90" s="13">
        <f>$I$38*$AV$38</f>
        <v>0</v>
      </c>
      <c r="AW90" s="13">
        <f>$I$38*$AW$38</f>
        <v>0</v>
      </c>
      <c r="AX90" s="13">
        <f>$I$38*$AX$38</f>
        <v>0</v>
      </c>
      <c r="AY90" s="13">
        <f>$I$38*$AY$38</f>
        <v>0</v>
      </c>
      <c r="AZ90" s="13">
        <f>$I$38*$AZ$38</f>
        <v>0</v>
      </c>
      <c r="BA90" s="13">
        <f>$I$38*$BA$38</f>
        <v>0</v>
      </c>
      <c r="BB90" s="13">
        <f>$I$38*$BB$38</f>
        <v>0</v>
      </c>
      <c r="BC90" s="13">
        <f>$I$38*$BC$38</f>
        <v>0</v>
      </c>
      <c r="BD90" s="13">
        <f>$I$38*$BD$38</f>
        <v>0</v>
      </c>
    </row>
    <row r="91" spans="1:56" ht="11.25" customHeight="1" x14ac:dyDescent="0.25">
      <c r="A91" s="9" t="s">
        <v>31</v>
      </c>
      <c r="B91" s="9" t="s">
        <v>661</v>
      </c>
      <c r="C91" s="9" t="s">
        <v>662</v>
      </c>
      <c r="D91" s="9" t="s">
        <v>685</v>
      </c>
      <c r="E91" s="9" t="s">
        <v>686</v>
      </c>
      <c r="F91" s="9" t="s">
        <v>687</v>
      </c>
      <c r="G91" s="9" t="s">
        <v>689</v>
      </c>
      <c r="L91" s="13">
        <f>$I$39*$L$39</f>
        <v>0</v>
      </c>
      <c r="M91" s="13">
        <f>$I$39*$M$39</f>
        <v>0</v>
      </c>
      <c r="N91" s="13">
        <f ca="1">$I$39*$N$39</f>
        <v>0</v>
      </c>
      <c r="O91" s="13">
        <f>$I$39*$O$39</f>
        <v>0</v>
      </c>
      <c r="P91" s="13">
        <f>$I$39*$P$39</f>
        <v>0</v>
      </c>
      <c r="Q91" s="13">
        <f>$I$39*$Q$39</f>
        <v>0</v>
      </c>
      <c r="R91" s="13">
        <f>$I$39*$R$39</f>
        <v>0</v>
      </c>
      <c r="S91" s="13">
        <f>$I$39*$S$39</f>
        <v>0</v>
      </c>
      <c r="T91" s="13">
        <f>$I$39*$T$39</f>
        <v>0</v>
      </c>
      <c r="U91" s="13">
        <f>$I$39*$U$39</f>
        <v>0</v>
      </c>
      <c r="V91" s="13">
        <f>$I$39*$V$39</f>
        <v>0</v>
      </c>
      <c r="W91" s="13">
        <f>$I$39*$W$39</f>
        <v>0</v>
      </c>
      <c r="X91" s="13">
        <f>$I$39*$X$39</f>
        <v>0</v>
      </c>
      <c r="Y91" s="13">
        <f>$I$39*$Y$39</f>
        <v>0</v>
      </c>
      <c r="Z91" s="13">
        <f>$I$39*$Z$39</f>
        <v>0</v>
      </c>
      <c r="AA91" s="13">
        <f>$I$39*$AA$39</f>
        <v>0</v>
      </c>
      <c r="AB91" s="13">
        <f ca="1">$I$39*$AB$39</f>
        <v>0</v>
      </c>
      <c r="AC91" s="13">
        <f ca="1">$I$39*$AC$39</f>
        <v>0</v>
      </c>
      <c r="AD91" s="13">
        <f>$I$39*$AD$39</f>
        <v>0</v>
      </c>
      <c r="AE91" s="13">
        <f>$I$39*$AE$39</f>
        <v>0</v>
      </c>
      <c r="AF91" s="13">
        <f ca="1">$I$39*$AF$39</f>
        <v>0</v>
      </c>
      <c r="AG91" s="13">
        <f ca="1">$I$39*$AG$39</f>
        <v>0</v>
      </c>
      <c r="AI91" s="13">
        <f>$I$39*$AI$39</f>
        <v>0</v>
      </c>
      <c r="AJ91" s="13">
        <f>$I$39*$AJ$39</f>
        <v>0</v>
      </c>
      <c r="AK91" s="13">
        <f>$I$39*$AK$39</f>
        <v>0</v>
      </c>
      <c r="AL91" s="13">
        <f>$I$39*$AL$39</f>
        <v>0</v>
      </c>
      <c r="AM91" s="13">
        <f>$I$39*$AM$39</f>
        <v>0</v>
      </c>
      <c r="AN91" s="13">
        <f>$I$39*$AN$39</f>
        <v>0</v>
      </c>
      <c r="AO91" s="13">
        <f>$I$39*$AO$39</f>
        <v>0</v>
      </c>
      <c r="AP91" s="13">
        <f>$I$39*$AP$39</f>
        <v>0</v>
      </c>
      <c r="AQ91" s="13">
        <f>$I$39*$AQ$39</f>
        <v>0</v>
      </c>
      <c r="AR91" s="13">
        <f>$I$39*$AR$39</f>
        <v>0</v>
      </c>
      <c r="AS91" s="13">
        <f>$I$39*$AS$39</f>
        <v>0</v>
      </c>
      <c r="AT91" s="13">
        <f>$I$39*$AT$39</f>
        <v>0</v>
      </c>
      <c r="AU91" s="13">
        <f>$I$39*$AU$39</f>
        <v>0</v>
      </c>
      <c r="AV91" s="13">
        <f>$I$39*$AV$39</f>
        <v>0</v>
      </c>
      <c r="AW91" s="13">
        <f>$I$39*$AW$39</f>
        <v>0</v>
      </c>
      <c r="AX91" s="13">
        <f>$I$39*$AX$39</f>
        <v>0</v>
      </c>
      <c r="AY91" s="13">
        <f>$I$39*$AY$39</f>
        <v>0</v>
      </c>
      <c r="AZ91" s="13">
        <f>$I$39*$AZ$39</f>
        <v>0</v>
      </c>
      <c r="BA91" s="13">
        <f>$I$39*$BA$39</f>
        <v>0</v>
      </c>
      <c r="BB91" s="13">
        <f>$I$39*$BB$39</f>
        <v>0</v>
      </c>
      <c r="BC91" s="13">
        <f>$I$39*$BC$39</f>
        <v>0</v>
      </c>
      <c r="BD91" s="13">
        <f>$I$39*$BD$39</f>
        <v>0</v>
      </c>
    </row>
    <row r="92" spans="1:56" ht="11.25" customHeight="1" x14ac:dyDescent="0.25">
      <c r="A92" s="9" t="s">
        <v>31</v>
      </c>
      <c r="B92" s="9" t="s">
        <v>661</v>
      </c>
      <c r="C92" s="9" t="s">
        <v>662</v>
      </c>
      <c r="D92" s="9" t="s">
        <v>685</v>
      </c>
      <c r="E92" s="9" t="s">
        <v>686</v>
      </c>
      <c r="F92" s="9" t="s">
        <v>687</v>
      </c>
      <c r="G92" s="9" t="s">
        <v>690</v>
      </c>
      <c r="L92" s="13">
        <f>$I$40*$L$40</f>
        <v>0</v>
      </c>
      <c r="M92" s="13">
        <f>$I$40*$M$40</f>
        <v>0</v>
      </c>
      <c r="N92" s="13">
        <f ca="1">$I$40*$N$40</f>
        <v>0</v>
      </c>
      <c r="O92" s="13">
        <f>$I$40*$O$40</f>
        <v>0</v>
      </c>
      <c r="P92" s="13">
        <f>$I$40*$P$40</f>
        <v>0</v>
      </c>
      <c r="Q92" s="13">
        <f>$I$40*$Q$40</f>
        <v>0</v>
      </c>
      <c r="R92" s="13">
        <f>$I$40*$R$40</f>
        <v>0</v>
      </c>
      <c r="S92" s="13">
        <f>$I$40*$S$40</f>
        <v>0</v>
      </c>
      <c r="T92" s="13">
        <f>$I$40*$T$40</f>
        <v>0</v>
      </c>
      <c r="U92" s="13">
        <f>$I$40*$U$40</f>
        <v>0</v>
      </c>
      <c r="V92" s="13">
        <f>$I$40*$V$40</f>
        <v>0</v>
      </c>
      <c r="W92" s="13">
        <f>$I$40*$W$40</f>
        <v>0</v>
      </c>
      <c r="X92" s="13">
        <f>$I$40*$X$40</f>
        <v>0</v>
      </c>
      <c r="Y92" s="13">
        <f>$I$40*$Y$40</f>
        <v>0</v>
      </c>
      <c r="Z92" s="13">
        <f>$I$40*$Z$40</f>
        <v>0</v>
      </c>
      <c r="AA92" s="13">
        <f>$I$40*$AA$40</f>
        <v>0</v>
      </c>
      <c r="AB92" s="13">
        <f ca="1">$I$40*$AB$40</f>
        <v>0</v>
      </c>
      <c r="AC92" s="13">
        <f ca="1">$I$40*$AC$40</f>
        <v>0</v>
      </c>
      <c r="AD92" s="13">
        <f>$I$40*$AD$40</f>
        <v>0</v>
      </c>
      <c r="AE92" s="13">
        <f>$I$40*$AE$40</f>
        <v>0</v>
      </c>
      <c r="AF92" s="13">
        <f ca="1">$I$40*$AF$40</f>
        <v>0</v>
      </c>
      <c r="AG92" s="13">
        <f ca="1">$I$40*$AG$40</f>
        <v>0</v>
      </c>
      <c r="AI92" s="13">
        <f>$I$40*$AI$40</f>
        <v>0</v>
      </c>
      <c r="AJ92" s="13">
        <f>$I$40*$AJ$40</f>
        <v>0</v>
      </c>
      <c r="AK92" s="13">
        <f>$I$40*$AK$40</f>
        <v>0</v>
      </c>
      <c r="AL92" s="13">
        <f>$I$40*$AL$40</f>
        <v>0</v>
      </c>
      <c r="AM92" s="13">
        <f>$I$40*$AM$40</f>
        <v>0</v>
      </c>
      <c r="AN92" s="13">
        <f>$I$40*$AN$40</f>
        <v>0</v>
      </c>
      <c r="AO92" s="13">
        <f>$I$40*$AO$40</f>
        <v>0</v>
      </c>
      <c r="AP92" s="13">
        <f>$I$40*$AP$40</f>
        <v>0</v>
      </c>
      <c r="AQ92" s="13">
        <f>$I$40*$AQ$40</f>
        <v>0</v>
      </c>
      <c r="AR92" s="13">
        <f>$I$40*$AR$40</f>
        <v>0</v>
      </c>
      <c r="AS92" s="13">
        <f>$I$40*$AS$40</f>
        <v>0</v>
      </c>
      <c r="AT92" s="13">
        <f>$I$40*$AT$40</f>
        <v>0</v>
      </c>
      <c r="AU92" s="13">
        <f>$I$40*$AU$40</f>
        <v>0</v>
      </c>
      <c r="AV92" s="13">
        <f>$I$40*$AV$40</f>
        <v>0</v>
      </c>
      <c r="AW92" s="13">
        <f>$I$40*$AW$40</f>
        <v>0</v>
      </c>
      <c r="AX92" s="13">
        <f>$I$40*$AX$40</f>
        <v>0</v>
      </c>
      <c r="AY92" s="13">
        <f>$I$40*$AY$40</f>
        <v>0</v>
      </c>
      <c r="AZ92" s="13">
        <f>$I$40*$AZ$40</f>
        <v>0</v>
      </c>
      <c r="BA92" s="13">
        <f>$I$40*$BA$40</f>
        <v>0</v>
      </c>
      <c r="BB92" s="13">
        <f>$I$40*$BB$40</f>
        <v>0</v>
      </c>
      <c r="BC92" s="13">
        <f>$I$40*$BC$40</f>
        <v>0</v>
      </c>
      <c r="BD92" s="13">
        <f>$I$40*$BD$40</f>
        <v>0</v>
      </c>
    </row>
    <row r="93" spans="1:56" ht="11.25" customHeight="1" x14ac:dyDescent="0.25">
      <c r="A93" s="9" t="s">
        <v>31</v>
      </c>
      <c r="B93" s="9" t="s">
        <v>669</v>
      </c>
      <c r="C93" s="9" t="s">
        <v>670</v>
      </c>
      <c r="D93" s="9" t="s">
        <v>691</v>
      </c>
      <c r="E93" s="9" t="s">
        <v>692</v>
      </c>
      <c r="F93" s="9" t="s">
        <v>693</v>
      </c>
      <c r="G93" s="9" t="s">
        <v>694</v>
      </c>
      <c r="L93" s="13">
        <f>$I$41*$L$41</f>
        <v>0</v>
      </c>
      <c r="M93" s="13">
        <f>$I$41*$M$41</f>
        <v>0</v>
      </c>
      <c r="N93" s="13">
        <f ca="1">$I$41*$N$41</f>
        <v>0</v>
      </c>
      <c r="O93" s="13">
        <f>$I$41*$O$41</f>
        <v>0</v>
      </c>
      <c r="P93" s="13">
        <f>$I$41*$P$41</f>
        <v>0</v>
      </c>
      <c r="Q93" s="13">
        <f>$I$41*$Q$41</f>
        <v>0</v>
      </c>
      <c r="R93" s="13">
        <f>$I$41*$R$41</f>
        <v>0</v>
      </c>
      <c r="S93" s="13">
        <f>$I$41*$S$41</f>
        <v>0</v>
      </c>
      <c r="T93" s="13">
        <f>$I$41*$T$41</f>
        <v>0</v>
      </c>
      <c r="U93" s="13">
        <f>$I$41*$U$41</f>
        <v>0</v>
      </c>
      <c r="V93" s="13">
        <f>$I$41*$V$41</f>
        <v>0</v>
      </c>
      <c r="W93" s="13">
        <f>$I$41*$W$41</f>
        <v>0</v>
      </c>
      <c r="X93" s="13">
        <f>$I$41*$X$41</f>
        <v>0</v>
      </c>
      <c r="Y93" s="13">
        <f>$I$41*$Y$41</f>
        <v>0</v>
      </c>
      <c r="Z93" s="13">
        <f>$I$41*$Z$41</f>
        <v>0</v>
      </c>
      <c r="AA93" s="13">
        <f>$I$41*$AA$41</f>
        <v>0</v>
      </c>
      <c r="AB93" s="13">
        <f ca="1">$I$41*$AB$41</f>
        <v>0</v>
      </c>
      <c r="AC93" s="13">
        <f ca="1">$I$41*$AC$41</f>
        <v>0</v>
      </c>
      <c r="AD93" s="13">
        <f>$I$41*$AD$41</f>
        <v>0</v>
      </c>
      <c r="AE93" s="13">
        <f>$I$41*$AE$41</f>
        <v>0</v>
      </c>
      <c r="AF93" s="13">
        <f ca="1">$I$41*$AF$41</f>
        <v>0</v>
      </c>
      <c r="AG93" s="13">
        <f ca="1">$I$41*$AG$41</f>
        <v>0</v>
      </c>
      <c r="AI93" s="13">
        <f>$I$41*$AI$41</f>
        <v>0</v>
      </c>
      <c r="AJ93" s="13">
        <f>$I$41*$AJ$41</f>
        <v>0</v>
      </c>
      <c r="AK93" s="13">
        <f>$I$41*$AK$41</f>
        <v>0</v>
      </c>
      <c r="AL93" s="13">
        <f>$I$41*$AL$41</f>
        <v>0</v>
      </c>
      <c r="AM93" s="13">
        <f>$I$41*$AM$41</f>
        <v>0</v>
      </c>
      <c r="AN93" s="13">
        <f>$I$41*$AN$41</f>
        <v>0</v>
      </c>
      <c r="AO93" s="13">
        <f>$I$41*$AO$41</f>
        <v>0</v>
      </c>
      <c r="AP93" s="13">
        <f>$I$41*$AP$41</f>
        <v>0</v>
      </c>
      <c r="AQ93" s="13">
        <f>$I$41*$AQ$41</f>
        <v>0</v>
      </c>
      <c r="AR93" s="13">
        <f>$I$41*$AR$41</f>
        <v>0</v>
      </c>
      <c r="AS93" s="13">
        <f>$I$41*$AS$41</f>
        <v>0</v>
      </c>
      <c r="AT93" s="13">
        <f>$I$41*$AT$41</f>
        <v>0</v>
      </c>
      <c r="AU93" s="13">
        <f>$I$41*$AU$41</f>
        <v>0</v>
      </c>
      <c r="AV93" s="13">
        <f>$I$41*$AV$41</f>
        <v>0</v>
      </c>
      <c r="AW93" s="13">
        <f>$I$41*$AW$41</f>
        <v>0</v>
      </c>
      <c r="AX93" s="13">
        <f>$I$41*$AX$41</f>
        <v>0</v>
      </c>
      <c r="AY93" s="13">
        <f>$I$41*$AY$41</f>
        <v>0</v>
      </c>
      <c r="AZ93" s="13">
        <f>$I$41*$AZ$41</f>
        <v>0</v>
      </c>
      <c r="BA93" s="13">
        <f>$I$41*$BA$41</f>
        <v>0</v>
      </c>
      <c r="BB93" s="13">
        <f>$I$41*$BB$41</f>
        <v>0</v>
      </c>
      <c r="BC93" s="13">
        <f>$I$41*$BC$41</f>
        <v>0</v>
      </c>
      <c r="BD93" s="13">
        <f>$I$41*$BD$41</f>
        <v>0</v>
      </c>
    </row>
    <row r="94" spans="1:56" ht="11.25" customHeight="1" x14ac:dyDescent="0.25">
      <c r="A94" s="9" t="s">
        <v>31</v>
      </c>
      <c r="B94" s="9" t="s">
        <v>695</v>
      </c>
      <c r="C94" s="9" t="s">
        <v>696</v>
      </c>
      <c r="D94" s="9" t="s">
        <v>697</v>
      </c>
      <c r="E94" s="9" t="s">
        <v>698</v>
      </c>
      <c r="F94" s="9" t="s">
        <v>699</v>
      </c>
      <c r="G94" s="9" t="s">
        <v>700</v>
      </c>
      <c r="L94" s="13">
        <f>$I$42*$L$42</f>
        <v>0</v>
      </c>
      <c r="M94" s="13">
        <f>$I$42*$M$42</f>
        <v>0</v>
      </c>
      <c r="N94" s="13">
        <f ca="1">$I$42*$N$42</f>
        <v>0</v>
      </c>
      <c r="O94" s="13">
        <f>$I$42*$O$42</f>
        <v>0</v>
      </c>
      <c r="P94" s="13">
        <f>$I$42*$P$42</f>
        <v>0</v>
      </c>
      <c r="Q94" s="13">
        <f>$I$42*$Q$42</f>
        <v>0</v>
      </c>
      <c r="R94" s="13">
        <f>$I$42*$R$42</f>
        <v>0</v>
      </c>
      <c r="S94" s="13">
        <f>$I$42*$S$42</f>
        <v>0</v>
      </c>
      <c r="T94" s="13">
        <f>$I$42*$T$42</f>
        <v>0</v>
      </c>
      <c r="U94" s="13">
        <f>$I$42*$U$42</f>
        <v>0</v>
      </c>
      <c r="V94" s="13">
        <f>$I$42*$V$42</f>
        <v>0</v>
      </c>
      <c r="W94" s="13">
        <f>$I$42*$W$42</f>
        <v>0</v>
      </c>
      <c r="X94" s="13">
        <f>$I$42*$X$42</f>
        <v>0</v>
      </c>
      <c r="Y94" s="13">
        <f>$I$42*$Y$42</f>
        <v>0</v>
      </c>
      <c r="Z94" s="13">
        <f>$I$42*$Z$42</f>
        <v>0</v>
      </c>
      <c r="AA94" s="13">
        <f>$I$42*$AA$42</f>
        <v>0</v>
      </c>
      <c r="AB94" s="13">
        <f ca="1">$I$42*$AB$42</f>
        <v>0</v>
      </c>
      <c r="AC94" s="13">
        <f ca="1">$I$42*$AC$42</f>
        <v>0</v>
      </c>
      <c r="AD94" s="13">
        <f>$I$42*$AD$42</f>
        <v>0</v>
      </c>
      <c r="AE94" s="13">
        <f>$I$42*$AE$42</f>
        <v>0</v>
      </c>
      <c r="AF94" s="13">
        <f ca="1">$I$42*$AF$42</f>
        <v>0</v>
      </c>
      <c r="AG94" s="13">
        <f ca="1">$I$42*$AG$42</f>
        <v>0</v>
      </c>
      <c r="AI94" s="13">
        <f>$I$42*$AI$42</f>
        <v>0</v>
      </c>
      <c r="AJ94" s="13">
        <f>$I$42*$AJ$42</f>
        <v>0</v>
      </c>
      <c r="AK94" s="13">
        <f>$I$42*$AK$42</f>
        <v>0</v>
      </c>
      <c r="AL94" s="13">
        <f>$I$42*$AL$42</f>
        <v>0</v>
      </c>
      <c r="AM94" s="13">
        <f>$I$42*$AM$42</f>
        <v>0</v>
      </c>
      <c r="AN94" s="13">
        <f>$I$42*$AN$42</f>
        <v>0</v>
      </c>
      <c r="AO94" s="13">
        <f>$I$42*$AO$42</f>
        <v>0</v>
      </c>
      <c r="AP94" s="13">
        <f>$I$42*$AP$42</f>
        <v>0</v>
      </c>
      <c r="AQ94" s="13">
        <f>$I$42*$AQ$42</f>
        <v>0</v>
      </c>
      <c r="AR94" s="13">
        <f>$I$42*$AR$42</f>
        <v>0</v>
      </c>
      <c r="AS94" s="13">
        <f>$I$42*$AS$42</f>
        <v>0</v>
      </c>
      <c r="AT94" s="13">
        <f>$I$42*$AT$42</f>
        <v>0</v>
      </c>
      <c r="AU94" s="13">
        <f>$I$42*$AU$42</f>
        <v>0</v>
      </c>
      <c r="AV94" s="13">
        <f>$I$42*$AV$42</f>
        <v>0</v>
      </c>
      <c r="AW94" s="13">
        <f>$I$42*$AW$42</f>
        <v>0</v>
      </c>
      <c r="AX94" s="13">
        <f>$I$42*$AX$42</f>
        <v>0</v>
      </c>
      <c r="AY94" s="13">
        <f>$I$42*$AY$42</f>
        <v>0</v>
      </c>
      <c r="AZ94" s="13">
        <f>$I$42*$AZ$42</f>
        <v>0</v>
      </c>
      <c r="BA94" s="13">
        <f>$I$42*$BA$42</f>
        <v>0</v>
      </c>
      <c r="BB94" s="13">
        <f>$I$42*$BB$42</f>
        <v>0</v>
      </c>
      <c r="BC94" s="13">
        <f>$I$42*$BC$42</f>
        <v>0</v>
      </c>
      <c r="BD94" s="13">
        <f>$I$42*$BD$42</f>
        <v>0</v>
      </c>
    </row>
    <row r="95" spans="1:56" ht="11.25" customHeight="1" x14ac:dyDescent="0.25">
      <c r="A95" s="9" t="s">
        <v>31</v>
      </c>
      <c r="B95" s="9" t="s">
        <v>695</v>
      </c>
      <c r="C95" s="9" t="s">
        <v>696</v>
      </c>
      <c r="D95" s="9" t="s">
        <v>701</v>
      </c>
      <c r="E95" s="9" t="s">
        <v>702</v>
      </c>
      <c r="F95" s="9" t="s">
        <v>703</v>
      </c>
      <c r="G95" s="9" t="s">
        <v>704</v>
      </c>
      <c r="L95" s="13">
        <f>$I$43*$L$43</f>
        <v>0</v>
      </c>
      <c r="M95" s="13">
        <f>$I$43*$M$43</f>
        <v>0</v>
      </c>
      <c r="N95" s="13">
        <f ca="1">$I$43*$N$43</f>
        <v>0</v>
      </c>
      <c r="O95" s="13">
        <f>$I$43*$O$43</f>
        <v>0</v>
      </c>
      <c r="P95" s="13">
        <f>$I$43*$P$43</f>
        <v>0</v>
      </c>
      <c r="Q95" s="13">
        <f>$I$43*$Q$43</f>
        <v>0</v>
      </c>
      <c r="R95" s="13">
        <f>$I$43*$R$43</f>
        <v>0</v>
      </c>
      <c r="S95" s="13">
        <f>$I$43*$S$43</f>
        <v>0</v>
      </c>
      <c r="T95" s="13">
        <f>$I$43*$T$43</f>
        <v>0</v>
      </c>
      <c r="U95" s="13">
        <f>$I$43*$U$43</f>
        <v>0</v>
      </c>
      <c r="V95" s="13">
        <f>$I$43*$V$43</f>
        <v>0</v>
      </c>
      <c r="W95" s="13">
        <f>$I$43*$W$43</f>
        <v>0</v>
      </c>
      <c r="X95" s="13">
        <f>$I$43*$X$43</f>
        <v>0</v>
      </c>
      <c r="Y95" s="13">
        <f>$I$43*$Y$43</f>
        <v>0</v>
      </c>
      <c r="Z95" s="13">
        <f>$I$43*$Z$43</f>
        <v>0</v>
      </c>
      <c r="AA95" s="13">
        <f>$I$43*$AA$43</f>
        <v>0</v>
      </c>
      <c r="AB95" s="13">
        <f ca="1">$I$43*$AB$43</f>
        <v>0</v>
      </c>
      <c r="AC95" s="13">
        <f ca="1">$I$43*$AC$43</f>
        <v>0</v>
      </c>
      <c r="AD95" s="13">
        <f>$I$43*$AD$43</f>
        <v>0</v>
      </c>
      <c r="AE95" s="13">
        <f>$I$43*$AE$43</f>
        <v>0</v>
      </c>
      <c r="AF95" s="13">
        <f ca="1">$I$43*$AF$43</f>
        <v>0</v>
      </c>
      <c r="AG95" s="13">
        <f ca="1">$I$43*$AG$43</f>
        <v>0</v>
      </c>
      <c r="AI95" s="13">
        <f>$I$43*$AI$43</f>
        <v>0</v>
      </c>
      <c r="AJ95" s="13">
        <f>$I$43*$AJ$43</f>
        <v>0</v>
      </c>
      <c r="AK95" s="13">
        <f>$I$43*$AK$43</f>
        <v>0</v>
      </c>
      <c r="AL95" s="13">
        <f>$I$43*$AL$43</f>
        <v>0</v>
      </c>
      <c r="AM95" s="13">
        <f>$I$43*$AM$43</f>
        <v>0</v>
      </c>
      <c r="AN95" s="13">
        <f>$I$43*$AN$43</f>
        <v>0</v>
      </c>
      <c r="AO95" s="13">
        <f>$I$43*$AO$43</f>
        <v>0</v>
      </c>
      <c r="AP95" s="13">
        <f>$I$43*$AP$43</f>
        <v>0</v>
      </c>
      <c r="AQ95" s="13">
        <f>$I$43*$AQ$43</f>
        <v>0</v>
      </c>
      <c r="AR95" s="13">
        <f>$I$43*$AR$43</f>
        <v>0</v>
      </c>
      <c r="AS95" s="13">
        <f>$I$43*$AS$43</f>
        <v>0</v>
      </c>
      <c r="AT95" s="13">
        <f>$I$43*$AT$43</f>
        <v>0</v>
      </c>
      <c r="AU95" s="13">
        <f>$I$43*$AU$43</f>
        <v>0</v>
      </c>
      <c r="AV95" s="13">
        <f>$I$43*$AV$43</f>
        <v>0</v>
      </c>
      <c r="AW95" s="13">
        <f>$I$43*$AW$43</f>
        <v>0</v>
      </c>
      <c r="AX95" s="13">
        <f>$I$43*$AX$43</f>
        <v>0</v>
      </c>
      <c r="AY95" s="13">
        <f>$I$43*$AY$43</f>
        <v>0</v>
      </c>
      <c r="AZ95" s="13">
        <f>$I$43*$AZ$43</f>
        <v>0</v>
      </c>
      <c r="BA95" s="13">
        <f>$I$43*$BA$43</f>
        <v>0</v>
      </c>
      <c r="BB95" s="13">
        <f>$I$43*$BB$43</f>
        <v>0</v>
      </c>
      <c r="BC95" s="13">
        <f>$I$43*$BC$43</f>
        <v>0</v>
      </c>
      <c r="BD95" s="13">
        <f>$I$43*$BD$43</f>
        <v>0</v>
      </c>
    </row>
    <row r="96" spans="1:56" ht="11.25" customHeight="1" x14ac:dyDescent="0.25">
      <c r="A96" s="9" t="s">
        <v>31</v>
      </c>
      <c r="B96" s="9" t="s">
        <v>695</v>
      </c>
      <c r="C96" s="9" t="s">
        <v>696</v>
      </c>
      <c r="D96" s="9" t="s">
        <v>705</v>
      </c>
      <c r="E96" s="9" t="s">
        <v>706</v>
      </c>
      <c r="F96" s="9" t="s">
        <v>707</v>
      </c>
      <c r="G96" s="9" t="s">
        <v>708</v>
      </c>
      <c r="L96" s="13">
        <f>$I$44*$L$44</f>
        <v>0</v>
      </c>
      <c r="M96" s="13">
        <f>$I$44*$M$44</f>
        <v>0</v>
      </c>
      <c r="N96" s="13">
        <f ca="1">$I$44*$N$44</f>
        <v>0</v>
      </c>
      <c r="O96" s="13">
        <f>$I$44*$O$44</f>
        <v>0</v>
      </c>
      <c r="P96" s="13">
        <f>$I$44*$P$44</f>
        <v>0</v>
      </c>
      <c r="Q96" s="13">
        <f>$I$44*$Q$44</f>
        <v>0</v>
      </c>
      <c r="R96" s="13">
        <f>$I$44*$R$44</f>
        <v>0</v>
      </c>
      <c r="S96" s="13">
        <f>$I$44*$S$44</f>
        <v>0</v>
      </c>
      <c r="T96" s="13">
        <f>$I$44*$T$44</f>
        <v>0</v>
      </c>
      <c r="U96" s="13">
        <f>$I$44*$U$44</f>
        <v>0</v>
      </c>
      <c r="V96" s="13">
        <f>$I$44*$V$44</f>
        <v>0</v>
      </c>
      <c r="W96" s="13">
        <f>$I$44*$W$44</f>
        <v>0</v>
      </c>
      <c r="X96" s="13">
        <f>$I$44*$X$44</f>
        <v>0</v>
      </c>
      <c r="Y96" s="13">
        <f>$I$44*$Y$44</f>
        <v>0</v>
      </c>
      <c r="Z96" s="13">
        <f>$I$44*$Z$44</f>
        <v>0</v>
      </c>
      <c r="AA96" s="13">
        <f>$I$44*$AA$44</f>
        <v>0</v>
      </c>
      <c r="AB96" s="13">
        <f ca="1">$I$44*$AB$44</f>
        <v>0</v>
      </c>
      <c r="AC96" s="13">
        <f ca="1">$I$44*$AC$44</f>
        <v>0</v>
      </c>
      <c r="AD96" s="13">
        <f>$I$44*$AD$44</f>
        <v>0</v>
      </c>
      <c r="AE96" s="13">
        <f>$I$44*$AE$44</f>
        <v>0</v>
      </c>
      <c r="AF96" s="13">
        <f ca="1">$I$44*$AF$44</f>
        <v>0</v>
      </c>
      <c r="AG96" s="13">
        <f ca="1">$I$44*$AG$44</f>
        <v>0</v>
      </c>
      <c r="AI96" s="13">
        <f>$I$44*$AI$44</f>
        <v>0</v>
      </c>
      <c r="AJ96" s="13">
        <f>$I$44*$AJ$44</f>
        <v>0</v>
      </c>
      <c r="AK96" s="13">
        <f>$I$44*$AK$44</f>
        <v>0</v>
      </c>
      <c r="AL96" s="13">
        <f>$I$44*$AL$44</f>
        <v>0</v>
      </c>
      <c r="AM96" s="13">
        <f>$I$44*$AM$44</f>
        <v>0</v>
      </c>
      <c r="AN96" s="13">
        <f>$I$44*$AN$44</f>
        <v>0</v>
      </c>
      <c r="AO96" s="13">
        <f>$I$44*$AO$44</f>
        <v>0</v>
      </c>
      <c r="AP96" s="13">
        <f>$I$44*$AP$44</f>
        <v>0</v>
      </c>
      <c r="AQ96" s="13">
        <f>$I$44*$AQ$44</f>
        <v>0</v>
      </c>
      <c r="AR96" s="13">
        <f>$I$44*$AR$44</f>
        <v>0</v>
      </c>
      <c r="AS96" s="13">
        <f>$I$44*$AS$44</f>
        <v>0</v>
      </c>
      <c r="AT96" s="13">
        <f>$I$44*$AT$44</f>
        <v>0</v>
      </c>
      <c r="AU96" s="13">
        <f>$I$44*$AU$44</f>
        <v>0</v>
      </c>
      <c r="AV96" s="13">
        <f>$I$44*$AV$44</f>
        <v>0</v>
      </c>
      <c r="AW96" s="13">
        <f>$I$44*$AW$44</f>
        <v>0</v>
      </c>
      <c r="AX96" s="13">
        <f>$I$44*$AX$44</f>
        <v>0</v>
      </c>
      <c r="AY96" s="13">
        <f>$I$44*$AY$44</f>
        <v>0</v>
      </c>
      <c r="AZ96" s="13">
        <f>$I$44*$AZ$44</f>
        <v>0</v>
      </c>
      <c r="BA96" s="13">
        <f>$I$44*$BA$44</f>
        <v>0</v>
      </c>
      <c r="BB96" s="13">
        <f>$I$44*$BB$44</f>
        <v>0</v>
      </c>
      <c r="BC96" s="13">
        <f>$I$44*$BC$44</f>
        <v>0</v>
      </c>
      <c r="BD96" s="13">
        <f>$I$44*$BD$44</f>
        <v>0</v>
      </c>
    </row>
    <row r="97" spans="1:56" ht="11.25" customHeight="1" x14ac:dyDescent="0.25">
      <c r="A97" s="9" t="s">
        <v>28</v>
      </c>
      <c r="B97" s="9" t="s">
        <v>709</v>
      </c>
      <c r="C97" s="9" t="s">
        <v>710</v>
      </c>
      <c r="D97" s="9" t="s">
        <v>711</v>
      </c>
      <c r="E97" s="9" t="s">
        <v>712</v>
      </c>
      <c r="F97" s="9" t="s">
        <v>713</v>
      </c>
      <c r="G97" s="9" t="s">
        <v>714</v>
      </c>
      <c r="L97" s="13">
        <f>$I$45*$L$45</f>
        <v>0</v>
      </c>
      <c r="M97" s="13">
        <f>$I$45*$M$45</f>
        <v>0</v>
      </c>
      <c r="N97" s="13">
        <f ca="1">$I$45*$N$45</f>
        <v>0</v>
      </c>
      <c r="O97" s="13">
        <f>$I$45*$O$45</f>
        <v>0</v>
      </c>
      <c r="P97" s="13">
        <f>$I$45*$P$45</f>
        <v>0</v>
      </c>
      <c r="Q97" s="13">
        <f>$I$45*$Q$45</f>
        <v>0</v>
      </c>
      <c r="R97" s="13">
        <f>$I$45*$R$45</f>
        <v>0</v>
      </c>
      <c r="S97" s="13">
        <f>$I$45*$S$45</f>
        <v>0</v>
      </c>
      <c r="T97" s="13">
        <f>$I$45*$T$45</f>
        <v>0</v>
      </c>
      <c r="U97" s="13">
        <f>$I$45*$U$45</f>
        <v>0</v>
      </c>
      <c r="V97" s="13">
        <f>$I$45*$V$45</f>
        <v>0</v>
      </c>
      <c r="W97" s="13">
        <f>$I$45*$W$45</f>
        <v>0</v>
      </c>
      <c r="X97" s="13">
        <f>$I$45*$X$45</f>
        <v>0</v>
      </c>
      <c r="Y97" s="13">
        <f>$I$45*$Y$45</f>
        <v>0</v>
      </c>
      <c r="Z97" s="13">
        <f>$I$45*$Z$45</f>
        <v>0</v>
      </c>
      <c r="AA97" s="13">
        <f>$I$45*$AA$45</f>
        <v>0</v>
      </c>
      <c r="AB97" s="13">
        <f ca="1">$I$45*$AB$45</f>
        <v>0</v>
      </c>
      <c r="AC97" s="13">
        <f ca="1">$I$45*$AC$45</f>
        <v>0</v>
      </c>
      <c r="AD97" s="13">
        <f>$I$45*$AD$45</f>
        <v>0</v>
      </c>
      <c r="AE97" s="13">
        <f>$I$45*$AE$45</f>
        <v>0</v>
      </c>
      <c r="AF97" s="13">
        <f ca="1">$I$45*$AF$45</f>
        <v>0</v>
      </c>
      <c r="AG97" s="13">
        <f ca="1">$I$45*$AG$45</f>
        <v>0</v>
      </c>
      <c r="AI97" s="13">
        <f>$I$45*$AI$45</f>
        <v>0</v>
      </c>
      <c r="AJ97" s="13">
        <f>$I$45*$AJ$45</f>
        <v>0</v>
      </c>
      <c r="AK97" s="13">
        <f>$I$45*$AK$45</f>
        <v>0</v>
      </c>
      <c r="AL97" s="13">
        <f>$I$45*$AL$45</f>
        <v>0</v>
      </c>
      <c r="AM97" s="13">
        <f>$I$45*$AM$45</f>
        <v>0</v>
      </c>
      <c r="AN97" s="13">
        <f>$I$45*$AN$45</f>
        <v>0</v>
      </c>
      <c r="AO97" s="13">
        <f>$I$45*$AO$45</f>
        <v>0</v>
      </c>
      <c r="AP97" s="13">
        <f>$I$45*$AP$45</f>
        <v>0</v>
      </c>
      <c r="AQ97" s="13">
        <f>$I$45*$AQ$45</f>
        <v>0</v>
      </c>
      <c r="AR97" s="13">
        <f>$I$45*$AR$45</f>
        <v>0</v>
      </c>
      <c r="AS97" s="13">
        <f>$I$45*$AS$45</f>
        <v>0</v>
      </c>
      <c r="AT97" s="13">
        <f>$I$45*$AT$45</f>
        <v>0</v>
      </c>
      <c r="AU97" s="13">
        <f>$I$45*$AU$45</f>
        <v>0</v>
      </c>
      <c r="AV97" s="13">
        <f>$I$45*$AV$45</f>
        <v>0</v>
      </c>
      <c r="AW97" s="13">
        <f>$I$45*$AW$45</f>
        <v>0</v>
      </c>
      <c r="AX97" s="13">
        <f>$I$45*$AX$45</f>
        <v>0</v>
      </c>
      <c r="AY97" s="13">
        <f>$I$45*$AY$45</f>
        <v>0</v>
      </c>
      <c r="AZ97" s="13">
        <f>$I$45*$AZ$45</f>
        <v>0</v>
      </c>
      <c r="BA97" s="13">
        <f>$I$45*$BA$45</f>
        <v>0</v>
      </c>
      <c r="BB97" s="13">
        <f>$I$45*$BB$45</f>
        <v>0</v>
      </c>
      <c r="BC97" s="13">
        <f>$I$45*$BC$45</f>
        <v>0</v>
      </c>
      <c r="BD97" s="13">
        <f>$I$45*$BD$45</f>
        <v>0</v>
      </c>
    </row>
    <row r="98" spans="1:56" ht="11.25" customHeight="1" x14ac:dyDescent="0.25">
      <c r="A98" s="9" t="s">
        <v>28</v>
      </c>
      <c r="B98" s="9" t="s">
        <v>709</v>
      </c>
      <c r="C98" s="9" t="s">
        <v>710</v>
      </c>
      <c r="D98" s="9" t="s">
        <v>711</v>
      </c>
      <c r="E98" s="9" t="s">
        <v>712</v>
      </c>
      <c r="F98" s="9" t="s">
        <v>713</v>
      </c>
      <c r="G98" s="9" t="s">
        <v>715</v>
      </c>
      <c r="L98" s="13">
        <f>$I$46*$L$46</f>
        <v>0</v>
      </c>
      <c r="M98" s="13">
        <f>$I$46*$M$46</f>
        <v>0</v>
      </c>
      <c r="N98" s="13">
        <f ca="1">$I$46*$N$46</f>
        <v>0</v>
      </c>
      <c r="O98" s="13">
        <f>$I$46*$O$46</f>
        <v>0</v>
      </c>
      <c r="P98" s="13">
        <f>$I$46*$P$46</f>
        <v>0</v>
      </c>
      <c r="Q98" s="13">
        <f>$I$46*$Q$46</f>
        <v>0</v>
      </c>
      <c r="R98" s="13">
        <f>$I$46*$R$46</f>
        <v>0</v>
      </c>
      <c r="S98" s="13">
        <f>$I$46*$S$46</f>
        <v>0</v>
      </c>
      <c r="T98" s="13">
        <f>$I$46*$T$46</f>
        <v>0</v>
      </c>
      <c r="U98" s="13">
        <f>$I$46*$U$46</f>
        <v>0</v>
      </c>
      <c r="V98" s="13">
        <f>$I$46*$V$46</f>
        <v>0</v>
      </c>
      <c r="W98" s="13">
        <f>$I$46*$W$46</f>
        <v>0</v>
      </c>
      <c r="X98" s="13">
        <f>$I$46*$X$46</f>
        <v>0</v>
      </c>
      <c r="Y98" s="13">
        <f>$I$46*$Y$46</f>
        <v>0</v>
      </c>
      <c r="Z98" s="13">
        <f>$I$46*$Z$46</f>
        <v>0</v>
      </c>
      <c r="AA98" s="13">
        <f>$I$46*$AA$46</f>
        <v>0</v>
      </c>
      <c r="AB98" s="13">
        <f ca="1">$I$46*$AB$46</f>
        <v>0</v>
      </c>
      <c r="AC98" s="13">
        <f ca="1">$I$46*$AC$46</f>
        <v>0</v>
      </c>
      <c r="AD98" s="13">
        <f>$I$46*$AD$46</f>
        <v>0</v>
      </c>
      <c r="AE98" s="13">
        <f>$I$46*$AE$46</f>
        <v>0</v>
      </c>
      <c r="AF98" s="13">
        <f ca="1">$I$46*$AF$46</f>
        <v>0</v>
      </c>
      <c r="AG98" s="13">
        <f ca="1">$I$46*$AG$46</f>
        <v>0</v>
      </c>
      <c r="AI98" s="13">
        <f>$I$46*$AI$46</f>
        <v>0</v>
      </c>
      <c r="AJ98" s="13">
        <f>$I$46*$AJ$46</f>
        <v>0</v>
      </c>
      <c r="AK98" s="13">
        <f>$I$46*$AK$46</f>
        <v>0</v>
      </c>
      <c r="AL98" s="13">
        <f>$I$46*$AL$46</f>
        <v>0</v>
      </c>
      <c r="AM98" s="13">
        <f>$I$46*$AM$46</f>
        <v>0</v>
      </c>
      <c r="AN98" s="13">
        <f>$I$46*$AN$46</f>
        <v>0</v>
      </c>
      <c r="AO98" s="13">
        <f>$I$46*$AO$46</f>
        <v>0</v>
      </c>
      <c r="AP98" s="13">
        <f>$I$46*$AP$46</f>
        <v>0</v>
      </c>
      <c r="AQ98" s="13">
        <f>$I$46*$AQ$46</f>
        <v>0</v>
      </c>
      <c r="AR98" s="13">
        <f>$I$46*$AR$46</f>
        <v>0</v>
      </c>
      <c r="AS98" s="13">
        <f>$I$46*$AS$46</f>
        <v>0</v>
      </c>
      <c r="AT98" s="13">
        <f>$I$46*$AT$46</f>
        <v>0</v>
      </c>
      <c r="AU98" s="13">
        <f>$I$46*$AU$46</f>
        <v>0</v>
      </c>
      <c r="AV98" s="13">
        <f>$I$46*$AV$46</f>
        <v>0</v>
      </c>
      <c r="AW98" s="13">
        <f>$I$46*$AW$46</f>
        <v>0</v>
      </c>
      <c r="AX98" s="13">
        <f>$I$46*$AX$46</f>
        <v>0</v>
      </c>
      <c r="AY98" s="13">
        <f>$I$46*$AY$46</f>
        <v>0</v>
      </c>
      <c r="AZ98" s="13">
        <f>$I$46*$AZ$46</f>
        <v>0</v>
      </c>
      <c r="BA98" s="13">
        <f>$I$46*$BA$46</f>
        <v>0</v>
      </c>
      <c r="BB98" s="13">
        <f>$I$46*$BB$46</f>
        <v>0</v>
      </c>
      <c r="BC98" s="13">
        <f>$I$46*$BC$46</f>
        <v>0</v>
      </c>
      <c r="BD98" s="13">
        <f>$I$46*$BD$46</f>
        <v>0</v>
      </c>
    </row>
    <row r="99" spans="1:56" ht="11.25" customHeight="1" x14ac:dyDescent="0.25">
      <c r="A99" s="9" t="s">
        <v>28</v>
      </c>
      <c r="B99" s="9" t="s">
        <v>709</v>
      </c>
      <c r="C99" s="9" t="s">
        <v>710</v>
      </c>
      <c r="D99" s="9" t="s">
        <v>711</v>
      </c>
      <c r="E99" s="9" t="s">
        <v>712</v>
      </c>
      <c r="F99" s="9" t="s">
        <v>713</v>
      </c>
      <c r="G99" s="9" t="s">
        <v>716</v>
      </c>
      <c r="L99" s="13">
        <f>$I$47*$L$47</f>
        <v>0</v>
      </c>
      <c r="M99" s="13">
        <f>$I$47*$M$47</f>
        <v>0</v>
      </c>
      <c r="N99" s="13">
        <f ca="1">$I$47*$N$47</f>
        <v>0</v>
      </c>
      <c r="O99" s="13">
        <f>$I$47*$O$47</f>
        <v>0</v>
      </c>
      <c r="P99" s="13">
        <f>$I$47*$P$47</f>
        <v>0</v>
      </c>
      <c r="Q99" s="13">
        <f>$I$47*$Q$47</f>
        <v>0</v>
      </c>
      <c r="R99" s="13">
        <f>$I$47*$R$47</f>
        <v>0</v>
      </c>
      <c r="S99" s="13">
        <f>$I$47*$S$47</f>
        <v>0</v>
      </c>
      <c r="T99" s="13">
        <f>$I$47*$T$47</f>
        <v>0</v>
      </c>
      <c r="U99" s="13">
        <f>$I$47*$U$47</f>
        <v>0</v>
      </c>
      <c r="V99" s="13">
        <f>$I$47*$V$47</f>
        <v>0</v>
      </c>
      <c r="W99" s="13">
        <f>$I$47*$W$47</f>
        <v>0</v>
      </c>
      <c r="X99" s="13">
        <f>$I$47*$X$47</f>
        <v>0</v>
      </c>
      <c r="Y99" s="13">
        <f>$I$47*$Y$47</f>
        <v>0</v>
      </c>
      <c r="Z99" s="13">
        <f>$I$47*$Z$47</f>
        <v>0</v>
      </c>
      <c r="AA99" s="13">
        <f>$I$47*$AA$47</f>
        <v>0</v>
      </c>
      <c r="AB99" s="13">
        <f ca="1">$I$47*$AB$47</f>
        <v>0</v>
      </c>
      <c r="AC99" s="13">
        <f ca="1">$I$47*$AC$47</f>
        <v>0</v>
      </c>
      <c r="AD99" s="13">
        <f>$I$47*$AD$47</f>
        <v>0</v>
      </c>
      <c r="AE99" s="13">
        <f>$I$47*$AE$47</f>
        <v>0</v>
      </c>
      <c r="AF99" s="13">
        <f ca="1">$I$47*$AF$47</f>
        <v>0</v>
      </c>
      <c r="AG99" s="13">
        <f ca="1">$I$47*$AG$47</f>
        <v>0</v>
      </c>
      <c r="AI99" s="13">
        <f>$I$47*$AI$47</f>
        <v>0</v>
      </c>
      <c r="AJ99" s="13">
        <f>$I$47*$AJ$47</f>
        <v>0</v>
      </c>
      <c r="AK99" s="13">
        <f>$I$47*$AK$47</f>
        <v>0</v>
      </c>
      <c r="AL99" s="13">
        <f>$I$47*$AL$47</f>
        <v>0</v>
      </c>
      <c r="AM99" s="13">
        <f>$I$47*$AM$47</f>
        <v>0</v>
      </c>
      <c r="AN99" s="13">
        <f>$I$47*$AN$47</f>
        <v>0</v>
      </c>
      <c r="AO99" s="13">
        <f>$I$47*$AO$47</f>
        <v>0</v>
      </c>
      <c r="AP99" s="13">
        <f>$I$47*$AP$47</f>
        <v>0</v>
      </c>
      <c r="AQ99" s="13">
        <f>$I$47*$AQ$47</f>
        <v>0</v>
      </c>
      <c r="AR99" s="13">
        <f>$I$47*$AR$47</f>
        <v>0</v>
      </c>
      <c r="AS99" s="13">
        <f>$I$47*$AS$47</f>
        <v>0</v>
      </c>
      <c r="AT99" s="13">
        <f>$I$47*$AT$47</f>
        <v>0</v>
      </c>
      <c r="AU99" s="13">
        <f>$I$47*$AU$47</f>
        <v>0</v>
      </c>
      <c r="AV99" s="13">
        <f>$I$47*$AV$47</f>
        <v>0</v>
      </c>
      <c r="AW99" s="13">
        <f>$I$47*$AW$47</f>
        <v>0</v>
      </c>
      <c r="AX99" s="13">
        <f>$I$47*$AX$47</f>
        <v>0</v>
      </c>
      <c r="AY99" s="13">
        <f>$I$47*$AY$47</f>
        <v>0</v>
      </c>
      <c r="AZ99" s="13">
        <f>$I$47*$AZ$47</f>
        <v>0</v>
      </c>
      <c r="BA99" s="13">
        <f>$I$47*$BA$47</f>
        <v>0</v>
      </c>
      <c r="BB99" s="13">
        <f>$I$47*$BB$47</f>
        <v>0</v>
      </c>
      <c r="BC99" s="13">
        <f>$I$47*$BC$47</f>
        <v>0</v>
      </c>
      <c r="BD99" s="13">
        <f>$I$47*$BD$47</f>
        <v>0</v>
      </c>
    </row>
    <row r="100" spans="1:56" ht="11.25" customHeight="1" x14ac:dyDescent="0.25">
      <c r="A100" s="9" t="s">
        <v>28</v>
      </c>
      <c r="B100" s="9" t="s">
        <v>717</v>
      </c>
      <c r="C100" s="9" t="s">
        <v>718</v>
      </c>
      <c r="D100" s="9" t="s">
        <v>719</v>
      </c>
      <c r="E100" s="9" t="s">
        <v>720</v>
      </c>
      <c r="F100" s="9" t="s">
        <v>721</v>
      </c>
      <c r="G100" s="9" t="s">
        <v>722</v>
      </c>
      <c r="L100" s="13">
        <f>$I$48*$L$48</f>
        <v>102411.37347684603</v>
      </c>
      <c r="M100" s="13">
        <f>$I$48*$M$48</f>
        <v>7389.7605540780378</v>
      </c>
      <c r="N100" s="13">
        <f ca="1">$I$48*$N$48</f>
        <v>0</v>
      </c>
      <c r="O100" s="13">
        <f>$I$48*$O$48</f>
        <v>0</v>
      </c>
      <c r="P100" s="13">
        <f>$I$48*$P$48</f>
        <v>0</v>
      </c>
      <c r="Q100" s="13">
        <f>$I$48*$Q$48</f>
        <v>293433.07394967129</v>
      </c>
      <c r="R100" s="13">
        <f>$I$48*$R$48</f>
        <v>46419.205463596656</v>
      </c>
      <c r="S100" s="13">
        <f>$I$48*$S$48</f>
        <v>0</v>
      </c>
      <c r="T100" s="13">
        <f>$I$48*$T$48</f>
        <v>0</v>
      </c>
      <c r="U100" s="13">
        <f>$I$48*$U$48</f>
        <v>0</v>
      </c>
      <c r="V100" s="13">
        <f>$I$48*$V$48</f>
        <v>0</v>
      </c>
      <c r="W100" s="13">
        <f>$I$48*$W$48</f>
        <v>0</v>
      </c>
      <c r="X100" s="13">
        <f>$I$48*$X$48</f>
        <v>517758.11644546292</v>
      </c>
      <c r="Y100" s="13">
        <f>$I$48*$Y$48</f>
        <v>0</v>
      </c>
      <c r="Z100" s="13">
        <f>$I$48*$Z$48</f>
        <v>0</v>
      </c>
      <c r="AA100" s="13">
        <f>$I$48*$AA$48</f>
        <v>596143.12300372962</v>
      </c>
      <c r="AB100" s="13">
        <f ca="1">$I$48*$AB$48</f>
        <v>0</v>
      </c>
      <c r="AC100" s="13">
        <f ca="1">$I$48*$AC$48</f>
        <v>0</v>
      </c>
      <c r="AD100" s="13">
        <f>$I$48*$AD$48</f>
        <v>41243.362541545597</v>
      </c>
      <c r="AE100" s="13">
        <f>$I$48*$AE$48</f>
        <v>0</v>
      </c>
      <c r="AF100" s="13">
        <f ca="1">$I$48*$AF$48</f>
        <v>0</v>
      </c>
      <c r="AG100" s="13">
        <f ca="1">$I$48*$AG$48</f>
        <v>0</v>
      </c>
      <c r="AI100" s="13">
        <f>$I$48*$AI$48</f>
        <v>106971.34605754404</v>
      </c>
      <c r="AJ100" s="13">
        <f>$I$48*$AJ$48</f>
        <v>5129.1871746904571</v>
      </c>
      <c r="AK100" s="13">
        <f>$I$48*$AK$48</f>
        <v>0</v>
      </c>
      <c r="AL100" s="13">
        <f>$I$48*$AL$48</f>
        <v>0</v>
      </c>
      <c r="AM100" s="13">
        <f>$I$48*$AM$48</f>
        <v>0</v>
      </c>
      <c r="AN100" s="13">
        <f>$I$48*$AN$48</f>
        <v>165335.33697558855</v>
      </c>
      <c r="AO100" s="13">
        <f>$I$48*$AO$48</f>
        <v>26460.599111803938</v>
      </c>
      <c r="AP100" s="13">
        <f>$I$48*$AP$48</f>
        <v>0</v>
      </c>
      <c r="AQ100" s="13">
        <f>$I$48*$AQ$48</f>
        <v>0</v>
      </c>
      <c r="AR100" s="13">
        <f>$I$48*$AR$48</f>
        <v>0</v>
      </c>
      <c r="AS100" s="13">
        <f>$I$48*$AS$48</f>
        <v>0</v>
      </c>
      <c r="AT100" s="13">
        <f>$I$48*$AT$48</f>
        <v>0</v>
      </c>
      <c r="AU100" s="13">
        <f>$I$48*$AU$48</f>
        <v>441899.71470729337</v>
      </c>
      <c r="AV100" s="13">
        <f>$I$48*$AV$48</f>
        <v>0</v>
      </c>
      <c r="AW100" s="13">
        <f>$I$48*$AW$48</f>
        <v>0</v>
      </c>
      <c r="AX100" s="13">
        <f>$I$48*$AX$48</f>
        <v>464843.23322835605</v>
      </c>
      <c r="AY100" s="13">
        <f>$I$48*$AY$48</f>
        <v>0</v>
      </c>
      <c r="AZ100" s="13">
        <f>$I$48*$AZ$48</f>
        <v>0</v>
      </c>
      <c r="BA100" s="13">
        <f>$I$48*$BA$48</f>
        <v>59928.912854864262</v>
      </c>
      <c r="BB100" s="13">
        <f>$I$48*$BB$48</f>
        <v>0</v>
      </c>
      <c r="BC100" s="13">
        <f>$I$48*$BC$48</f>
        <v>0</v>
      </c>
      <c r="BD100" s="13">
        <f>$I$48*$BD$48</f>
        <v>0</v>
      </c>
    </row>
    <row r="101" spans="1:56" ht="11.25" customHeight="1" x14ac:dyDescent="0.25">
      <c r="A101" s="9" t="s">
        <v>28</v>
      </c>
      <c r="B101" s="9" t="s">
        <v>723</v>
      </c>
      <c r="C101" s="9" t="s">
        <v>724</v>
      </c>
      <c r="D101" s="9" t="s">
        <v>725</v>
      </c>
      <c r="E101" s="9" t="s">
        <v>726</v>
      </c>
      <c r="F101" s="9" t="s">
        <v>727</v>
      </c>
      <c r="G101" s="9" t="s">
        <v>728</v>
      </c>
      <c r="L101" s="13">
        <f>$I$49*$L$49</f>
        <v>0</v>
      </c>
      <c r="M101" s="13">
        <f>$I$49*$M$49</f>
        <v>0</v>
      </c>
      <c r="N101" s="13">
        <f ca="1">$I$49*$N$49</f>
        <v>0</v>
      </c>
      <c r="O101" s="13">
        <f>$I$49*$O$49</f>
        <v>0</v>
      </c>
      <c r="P101" s="13">
        <f>$I$49*$P$49</f>
        <v>0</v>
      </c>
      <c r="Q101" s="13">
        <f>$I$49*$Q$49</f>
        <v>0</v>
      </c>
      <c r="R101" s="13">
        <f>$I$49*$R$49</f>
        <v>0</v>
      </c>
      <c r="S101" s="13">
        <f>$I$49*$S$49</f>
        <v>0</v>
      </c>
      <c r="T101" s="13">
        <f>$I$49*$T$49</f>
        <v>0</v>
      </c>
      <c r="U101" s="13">
        <f>$I$49*$U$49</f>
        <v>0</v>
      </c>
      <c r="V101" s="13">
        <f>$I$49*$V$49</f>
        <v>0</v>
      </c>
      <c r="W101" s="13">
        <f>$I$49*$W$49</f>
        <v>0</v>
      </c>
      <c r="X101" s="13">
        <f>$I$49*$X$49</f>
        <v>0</v>
      </c>
      <c r="Y101" s="13">
        <f>$I$49*$Y$49</f>
        <v>0</v>
      </c>
      <c r="Z101" s="13">
        <f>$I$49*$Z$49</f>
        <v>0</v>
      </c>
      <c r="AA101" s="13">
        <f>$I$49*$AA$49</f>
        <v>0</v>
      </c>
      <c r="AB101" s="13">
        <f ca="1">$I$49*$AB$49</f>
        <v>0</v>
      </c>
      <c r="AC101" s="13">
        <f ca="1">$I$49*$AC$49</f>
        <v>0</v>
      </c>
      <c r="AD101" s="13">
        <f>$I$49*$AD$49</f>
        <v>0</v>
      </c>
      <c r="AE101" s="13">
        <f>$I$49*$AE$49</f>
        <v>0</v>
      </c>
      <c r="AF101" s="13">
        <f ca="1">$I$49*$AF$49</f>
        <v>0</v>
      </c>
      <c r="AG101" s="13">
        <f ca="1">$I$49*$AG$49</f>
        <v>0</v>
      </c>
      <c r="AI101" s="13">
        <f>$I$49*$AI$49</f>
        <v>0</v>
      </c>
      <c r="AJ101" s="13">
        <f>$I$49*$AJ$49</f>
        <v>0</v>
      </c>
      <c r="AK101" s="13">
        <f>$I$49*$AK$49</f>
        <v>0</v>
      </c>
      <c r="AL101" s="13">
        <f>$I$49*$AL$49</f>
        <v>0</v>
      </c>
      <c r="AM101" s="13">
        <f>$I$49*$AM$49</f>
        <v>0</v>
      </c>
      <c r="AN101" s="13">
        <f>$I$49*$AN$49</f>
        <v>0</v>
      </c>
      <c r="AO101" s="13">
        <f>$I$49*$AO$49</f>
        <v>0</v>
      </c>
      <c r="AP101" s="13">
        <f>$I$49*$AP$49</f>
        <v>0</v>
      </c>
      <c r="AQ101" s="13">
        <f>$I$49*$AQ$49</f>
        <v>0</v>
      </c>
      <c r="AR101" s="13">
        <f>$I$49*$AR$49</f>
        <v>0</v>
      </c>
      <c r="AS101" s="13">
        <f>$I$49*$AS$49</f>
        <v>0</v>
      </c>
      <c r="AT101" s="13">
        <f>$I$49*$AT$49</f>
        <v>0</v>
      </c>
      <c r="AU101" s="13">
        <f>$I$49*$AU$49</f>
        <v>0</v>
      </c>
      <c r="AV101" s="13">
        <f>$I$49*$AV$49</f>
        <v>0</v>
      </c>
      <c r="AW101" s="13">
        <f>$I$49*$AW$49</f>
        <v>0</v>
      </c>
      <c r="AX101" s="13">
        <f>$I$49*$AX$49</f>
        <v>0</v>
      </c>
      <c r="AY101" s="13">
        <f>$I$49*$AY$49</f>
        <v>0</v>
      </c>
      <c r="AZ101" s="13">
        <f>$I$49*$AZ$49</f>
        <v>0</v>
      </c>
      <c r="BA101" s="13">
        <f>$I$49*$BA$49</f>
        <v>0</v>
      </c>
      <c r="BB101" s="13">
        <f>$I$49*$BB$49</f>
        <v>0</v>
      </c>
      <c r="BC101" s="13">
        <f>$I$49*$BC$49</f>
        <v>0</v>
      </c>
      <c r="BD101" s="13">
        <f>$I$49*$BD$49</f>
        <v>0</v>
      </c>
    </row>
    <row r="102" spans="1:56" ht="11.25" customHeight="1" x14ac:dyDescent="0.25">
      <c r="A102" s="9" t="s">
        <v>34</v>
      </c>
      <c r="B102" s="9" t="s">
        <v>729</v>
      </c>
      <c r="C102" s="9" t="s">
        <v>730</v>
      </c>
      <c r="D102" s="9" t="s">
        <v>731</v>
      </c>
      <c r="E102" s="9" t="s">
        <v>732</v>
      </c>
      <c r="F102" s="9" t="s">
        <v>733</v>
      </c>
      <c r="G102" s="9" t="s">
        <v>734</v>
      </c>
      <c r="L102" s="13">
        <f>$I$50*$L$50</f>
        <v>4680.3037882571789</v>
      </c>
      <c r="M102" s="13">
        <f>$I$50*$M$50</f>
        <v>337.71956318293553</v>
      </c>
      <c r="N102" s="13">
        <f ca="1">$I$50*$N$50</f>
        <v>0</v>
      </c>
      <c r="O102" s="13">
        <f>$I$50*$O$50</f>
        <v>0</v>
      </c>
      <c r="P102" s="13">
        <f>$I$50*$P$50</f>
        <v>0</v>
      </c>
      <c r="Q102" s="13">
        <f>$I$50*$Q$50</f>
        <v>13410.189522720291</v>
      </c>
      <c r="R102" s="13">
        <f>$I$50*$R$50</f>
        <v>2121.4048381870271</v>
      </c>
      <c r="S102" s="13">
        <f>$I$50*$S$50</f>
        <v>0</v>
      </c>
      <c r="T102" s="13">
        <f>$I$50*$T$50</f>
        <v>0</v>
      </c>
      <c r="U102" s="13">
        <f>$I$50*$U$50</f>
        <v>0</v>
      </c>
      <c r="V102" s="13">
        <f>$I$50*$V$50</f>
        <v>0</v>
      </c>
      <c r="W102" s="13">
        <f>$I$50*$W$50</f>
        <v>0</v>
      </c>
      <c r="X102" s="13">
        <f>$I$50*$X$50</f>
        <v>23662.071814205996</v>
      </c>
      <c r="Y102" s="13">
        <f>$I$50*$Y$50</f>
        <v>0</v>
      </c>
      <c r="Z102" s="13">
        <f>$I$50*$Z$50</f>
        <v>0</v>
      </c>
      <c r="AA102" s="13">
        <f>$I$50*$AA$50</f>
        <v>27244.346230437339</v>
      </c>
      <c r="AB102" s="13">
        <f ca="1">$I$50*$AB$50</f>
        <v>0</v>
      </c>
      <c r="AC102" s="13">
        <f ca="1">$I$50*$AC$50</f>
        <v>0</v>
      </c>
      <c r="AD102" s="13">
        <f>$I$50*$AD$50</f>
        <v>1884.8635594883624</v>
      </c>
      <c r="AE102" s="13">
        <f>$I$50*$AE$50</f>
        <v>0</v>
      </c>
      <c r="AF102" s="13">
        <f ca="1">$I$50*$AF$50</f>
        <v>0</v>
      </c>
      <c r="AG102" s="13">
        <f ca="1">$I$50*$AG$50</f>
        <v>0</v>
      </c>
      <c r="AI102" s="13">
        <f>$I$50*$AI$50</f>
        <v>4888.6991668096816</v>
      </c>
      <c r="AJ102" s="13">
        <f>$I$50*$AJ$50</f>
        <v>234.40906365552564</v>
      </c>
      <c r="AK102" s="13">
        <f>$I$50*$AK$50</f>
        <v>0</v>
      </c>
      <c r="AL102" s="13">
        <f>$I$50*$AL$50</f>
        <v>0</v>
      </c>
      <c r="AM102" s="13">
        <f>$I$50*$AM$50</f>
        <v>0</v>
      </c>
      <c r="AN102" s="13">
        <f>$I$50*$AN$50</f>
        <v>7555.9928327157477</v>
      </c>
      <c r="AO102" s="13">
        <f>$I$50*$AO$50</f>
        <v>1209.2762557327692</v>
      </c>
      <c r="AP102" s="13">
        <f>$I$50*$AP$50</f>
        <v>0</v>
      </c>
      <c r="AQ102" s="13">
        <f>$I$50*$AQ$50</f>
        <v>0</v>
      </c>
      <c r="AR102" s="13">
        <f>$I$50*$AR$50</f>
        <v>0</v>
      </c>
      <c r="AS102" s="13">
        <f>$I$50*$AS$50</f>
        <v>0</v>
      </c>
      <c r="AT102" s="13">
        <f>$I$50*$AT$50</f>
        <v>0</v>
      </c>
      <c r="AU102" s="13">
        <f>$I$50*$AU$50</f>
        <v>20195.265804553528</v>
      </c>
      <c r="AV102" s="13">
        <f>$I$50*$AV$50</f>
        <v>0</v>
      </c>
      <c r="AW102" s="13">
        <f>$I$50*$AW$50</f>
        <v>0</v>
      </c>
      <c r="AX102" s="13">
        <f>$I$50*$AX$50</f>
        <v>21243.807904951776</v>
      </c>
      <c r="AY102" s="13">
        <f>$I$50*$AY$50</f>
        <v>0</v>
      </c>
      <c r="AZ102" s="13">
        <f>$I$50*$AZ$50</f>
        <v>0</v>
      </c>
      <c r="BA102" s="13">
        <f>$I$50*$BA$50</f>
        <v>2738.8121879272553</v>
      </c>
      <c r="BB102" s="13">
        <f>$I$50*$BB$50</f>
        <v>0</v>
      </c>
      <c r="BC102" s="13">
        <f>$I$50*$BC$50</f>
        <v>0</v>
      </c>
      <c r="BD102" s="13">
        <f>$I$50*$BD$50</f>
        <v>0</v>
      </c>
    </row>
    <row r="103" spans="1:56" ht="11.25" customHeight="1" x14ac:dyDescent="0.25">
      <c r="A103" s="9" t="s">
        <v>34</v>
      </c>
      <c r="B103" s="9" t="s">
        <v>729</v>
      </c>
      <c r="C103" s="9" t="s">
        <v>730</v>
      </c>
      <c r="D103" s="9" t="s">
        <v>735</v>
      </c>
      <c r="E103" s="9" t="s">
        <v>736</v>
      </c>
      <c r="F103" s="9" t="s">
        <v>737</v>
      </c>
      <c r="G103" s="9" t="s">
        <v>738</v>
      </c>
      <c r="L103" s="13">
        <f>$I$51*$L$51</f>
        <v>0</v>
      </c>
      <c r="M103" s="13">
        <f>$I$51*$M$51</f>
        <v>0</v>
      </c>
      <c r="N103" s="13">
        <f ca="1">$I$51*$N$51</f>
        <v>0</v>
      </c>
      <c r="O103" s="13">
        <f>$I$51*$O$51</f>
        <v>0</v>
      </c>
      <c r="P103" s="13">
        <f>$I$51*$P$51</f>
        <v>0</v>
      </c>
      <c r="Q103" s="13">
        <f>$I$51*$Q$51</f>
        <v>0</v>
      </c>
      <c r="R103" s="13">
        <f>$I$51*$R$51</f>
        <v>0</v>
      </c>
      <c r="S103" s="13">
        <f>$I$51*$S$51</f>
        <v>0</v>
      </c>
      <c r="T103" s="13">
        <f>$I$51*$T$51</f>
        <v>0</v>
      </c>
      <c r="U103" s="13">
        <f>$I$51*$U$51</f>
        <v>0</v>
      </c>
      <c r="V103" s="13">
        <f>$I$51*$V$51</f>
        <v>0</v>
      </c>
      <c r="W103" s="13">
        <f>$I$51*$W$51</f>
        <v>0</v>
      </c>
      <c r="X103" s="13">
        <f>$I$51*$X$51</f>
        <v>0</v>
      </c>
      <c r="Y103" s="13">
        <f>$I$51*$Y$51</f>
        <v>0</v>
      </c>
      <c r="Z103" s="13">
        <f>$I$51*$Z$51</f>
        <v>0</v>
      </c>
      <c r="AA103" s="13">
        <f>$I$51*$AA$51</f>
        <v>0</v>
      </c>
      <c r="AB103" s="13">
        <f ca="1">$I$51*$AB$51</f>
        <v>0</v>
      </c>
      <c r="AC103" s="13">
        <f ca="1">$I$51*$AC$51</f>
        <v>0</v>
      </c>
      <c r="AD103" s="13">
        <f>$I$51*$AD$51</f>
        <v>0</v>
      </c>
      <c r="AE103" s="13">
        <f>$I$51*$AE$51</f>
        <v>0</v>
      </c>
      <c r="AF103" s="13">
        <f ca="1">$I$51*$AF$51</f>
        <v>0</v>
      </c>
      <c r="AG103" s="13">
        <f ca="1">$I$51*$AG$51</f>
        <v>0</v>
      </c>
      <c r="AI103" s="13">
        <f>$I$51*$AI$51</f>
        <v>0</v>
      </c>
      <c r="AJ103" s="13">
        <f>$I$51*$AJ$51</f>
        <v>0</v>
      </c>
      <c r="AK103" s="13">
        <f>$I$51*$AK$51</f>
        <v>0</v>
      </c>
      <c r="AL103" s="13">
        <f>$I$51*$AL$51</f>
        <v>0</v>
      </c>
      <c r="AM103" s="13">
        <f>$I$51*$AM$51</f>
        <v>0</v>
      </c>
      <c r="AN103" s="13">
        <f>$I$51*$AN$51</f>
        <v>0</v>
      </c>
      <c r="AO103" s="13">
        <f>$I$51*$AO$51</f>
        <v>0</v>
      </c>
      <c r="AP103" s="13">
        <f>$I$51*$AP$51</f>
        <v>0</v>
      </c>
      <c r="AQ103" s="13">
        <f>$I$51*$AQ$51</f>
        <v>0</v>
      </c>
      <c r="AR103" s="13">
        <f>$I$51*$AR$51</f>
        <v>0</v>
      </c>
      <c r="AS103" s="13">
        <f>$I$51*$AS$51</f>
        <v>0</v>
      </c>
      <c r="AT103" s="13">
        <f>$I$51*$AT$51</f>
        <v>0</v>
      </c>
      <c r="AU103" s="13">
        <f>$I$51*$AU$51</f>
        <v>0</v>
      </c>
      <c r="AV103" s="13">
        <f>$I$51*$AV$51</f>
        <v>0</v>
      </c>
      <c r="AW103" s="13">
        <f>$I$51*$AW$51</f>
        <v>0</v>
      </c>
      <c r="AX103" s="13">
        <f>$I$51*$AX$51</f>
        <v>0</v>
      </c>
      <c r="AY103" s="13">
        <f>$I$51*$AY$51</f>
        <v>0</v>
      </c>
      <c r="AZ103" s="13">
        <f>$I$51*$AZ$51</f>
        <v>0</v>
      </c>
      <c r="BA103" s="13">
        <f>$I$51*$BA$51</f>
        <v>0</v>
      </c>
      <c r="BB103" s="13">
        <f>$I$51*$BB$51</f>
        <v>0</v>
      </c>
      <c r="BC103" s="13">
        <f>$I$51*$BC$51</f>
        <v>0</v>
      </c>
      <c r="BD103" s="13">
        <f>$I$51*$BD$51</f>
        <v>0</v>
      </c>
    </row>
  </sheetData>
  <mergeCells count="88">
    <mergeCell ref="A1:A4"/>
    <mergeCell ref="B1:B4"/>
    <mergeCell ref="C1:C4"/>
    <mergeCell ref="D1:D4"/>
    <mergeCell ref="E1:E4"/>
    <mergeCell ref="J1:J4"/>
    <mergeCell ref="L1:AG1"/>
    <mergeCell ref="L2:AG2"/>
    <mergeCell ref="L3:S3"/>
    <mergeCell ref="T3:Z3"/>
    <mergeCell ref="F5:F7"/>
    <mergeCell ref="B10:B14"/>
    <mergeCell ref="G1:G4"/>
    <mergeCell ref="H1:H4"/>
    <mergeCell ref="I1:I4"/>
    <mergeCell ref="F1:F4"/>
    <mergeCell ref="F10:F12"/>
    <mergeCell ref="F13:F14"/>
    <mergeCell ref="A5:A14"/>
    <mergeCell ref="B5:B8"/>
    <mergeCell ref="C5:C8"/>
    <mergeCell ref="D5:D8"/>
    <mergeCell ref="E5:E7"/>
    <mergeCell ref="C10:C14"/>
    <mergeCell ref="D10:D14"/>
    <mergeCell ref="E10:E12"/>
    <mergeCell ref="E13:E1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AI1:BD1"/>
    <mergeCell ref="AI2:BD2"/>
    <mergeCell ref="AI3:AP3"/>
    <mergeCell ref="AQ3:AW3"/>
    <mergeCell ref="AY3:AZ3"/>
    <mergeCell ref="E45:E47"/>
    <mergeCell ref="F45:F47"/>
    <mergeCell ref="A50:A51"/>
    <mergeCell ref="B50:B51"/>
    <mergeCell ref="C50:C51"/>
    <mergeCell ref="D45:D47"/>
    <mergeCell ref="AQ55:AW55"/>
    <mergeCell ref="AY55:AZ55"/>
    <mergeCell ref="BA55:BD55"/>
    <mergeCell ref="BA3:BD3"/>
    <mergeCell ref="L53:AG53"/>
    <mergeCell ref="AI53:BD53"/>
    <mergeCell ref="L54:AG54"/>
    <mergeCell ref="AI54:BD54"/>
    <mergeCell ref="L55:S55"/>
    <mergeCell ref="T55:Z55"/>
    <mergeCell ref="AB55:AC55"/>
    <mergeCell ref="AD55:AG55"/>
    <mergeCell ref="AI55:AP55"/>
    <mergeCell ref="AB3:AC3"/>
    <mergeCell ref="AD3:AG3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F065-3B51-4027-933A-482E2044C48A}">
  <sheetPr codeName="Planilha23"/>
  <dimension ref="A1:AH83"/>
  <sheetViews>
    <sheetView showGridLines="0" topLeftCell="L1" workbookViewId="0">
      <selection activeCell="V42" sqref="V42"/>
    </sheetView>
  </sheetViews>
  <sheetFormatPr defaultColWidth="9.140625" defaultRowHeight="11.25" customHeight="1" x14ac:dyDescent="0.25"/>
  <cols>
    <col min="1" max="1" width="9.28515625" style="9" bestFit="1" customWidth="1"/>
    <col min="2" max="2" width="29" style="9" bestFit="1" customWidth="1"/>
    <col min="3" max="3" width="38.7109375" style="9" bestFit="1" customWidth="1"/>
    <col min="4" max="4" width="61.7109375" style="9" bestFit="1" customWidth="1"/>
    <col min="5" max="5" width="71.42578125" style="9" bestFit="1" customWidth="1"/>
    <col min="6" max="6" width="81" style="9" bestFit="1" customWidth="1"/>
    <col min="7" max="7" width="81.8554687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20" style="9" bestFit="1" customWidth="1"/>
    <col min="12" max="12" width="4.140625" style="9" bestFit="1" customWidth="1"/>
    <col min="13" max="13" width="7.140625" style="9" bestFit="1" customWidth="1"/>
    <col min="14" max="14" width="6" style="9" bestFit="1" customWidth="1"/>
    <col min="15" max="15" width="11.140625" style="9" bestFit="1" customWidth="1"/>
    <col min="16" max="16" width="8.140625" style="9" bestFit="1" customWidth="1"/>
    <col min="17" max="17" width="15" style="9" bestFit="1" customWidth="1"/>
    <col min="18" max="18" width="6" style="9" bestFit="1" customWidth="1"/>
    <col min="19" max="19" width="10.42578125" style="9" bestFit="1" customWidth="1"/>
    <col min="20" max="20" width="7" style="9" bestFit="1" customWidth="1"/>
    <col min="21" max="21" width="11.140625" style="9" bestFit="1" customWidth="1"/>
    <col min="22" max="22" width="11" style="9" bestFit="1" customWidth="1"/>
    <col min="23" max="23" width="9.140625" style="9"/>
    <col min="24" max="24" width="4.140625" style="9" bestFit="1" customWidth="1"/>
    <col min="25" max="25" width="7.140625" style="9" bestFit="1" customWidth="1"/>
    <col min="26" max="26" width="6" style="9" bestFit="1" customWidth="1"/>
    <col min="27" max="27" width="11.140625" style="9" bestFit="1" customWidth="1"/>
    <col min="28" max="28" width="8.140625" style="9" bestFit="1" customWidth="1"/>
    <col min="29" max="29" width="15" style="9" bestFit="1" customWidth="1"/>
    <col min="30" max="30" width="6" style="9" bestFit="1" customWidth="1"/>
    <col min="31" max="31" width="10.42578125" style="9" bestFit="1" customWidth="1"/>
    <col min="32" max="32" width="7" style="9" bestFit="1" customWidth="1"/>
    <col min="33" max="33" width="11.140625" style="9" bestFit="1" customWidth="1"/>
    <col min="34" max="34" width="11" style="9" bestFit="1" customWidth="1"/>
    <col min="35" max="16384" width="9.140625" style="9"/>
  </cols>
  <sheetData>
    <row r="1" spans="1:34" ht="11.25" customHeight="1" x14ac:dyDescent="0.25">
      <c r="A1" s="113" t="s">
        <v>49</v>
      </c>
      <c r="B1" s="113" t="s">
        <v>50</v>
      </c>
      <c r="C1" s="113" t="s">
        <v>51</v>
      </c>
      <c r="D1" s="113" t="s">
        <v>52</v>
      </c>
      <c r="E1" s="113" t="s">
        <v>53</v>
      </c>
      <c r="F1" s="113" t="s">
        <v>15</v>
      </c>
      <c r="G1" s="113" t="s">
        <v>55</v>
      </c>
      <c r="H1" s="113" t="s">
        <v>56</v>
      </c>
      <c r="I1" s="113" t="s">
        <v>365</v>
      </c>
      <c r="J1" s="96"/>
      <c r="L1" s="111" t="s">
        <v>739</v>
      </c>
      <c r="M1" s="111"/>
      <c r="N1" s="111"/>
      <c r="O1" s="111"/>
      <c r="P1" s="111"/>
      <c r="Q1" s="111"/>
      <c r="R1" s="111"/>
      <c r="S1" s="111"/>
      <c r="T1" s="111"/>
      <c r="U1" s="111"/>
      <c r="V1" s="111"/>
      <c r="X1" s="111" t="s">
        <v>740</v>
      </c>
      <c r="Y1" s="111"/>
      <c r="Z1" s="111"/>
      <c r="AA1" s="111"/>
      <c r="AB1" s="111"/>
      <c r="AC1" s="111"/>
      <c r="AD1" s="111"/>
      <c r="AE1" s="111"/>
      <c r="AF1" s="111"/>
      <c r="AG1" s="111"/>
      <c r="AH1" s="111"/>
    </row>
    <row r="2" spans="1:34" ht="11.2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96"/>
      <c r="L2" s="111" t="s">
        <v>291</v>
      </c>
      <c r="M2" s="111"/>
      <c r="N2" s="111"/>
      <c r="O2" s="111"/>
      <c r="P2" s="111"/>
      <c r="Q2" s="111"/>
      <c r="R2" s="111"/>
      <c r="S2" s="111"/>
      <c r="T2" s="111"/>
      <c r="U2" s="111"/>
      <c r="V2" s="111"/>
      <c r="X2" s="111" t="s">
        <v>291</v>
      </c>
      <c r="Y2" s="111"/>
      <c r="Z2" s="111"/>
      <c r="AA2" s="111"/>
      <c r="AB2" s="111"/>
      <c r="AC2" s="111"/>
      <c r="AD2" s="111"/>
      <c r="AE2" s="111"/>
      <c r="AF2" s="111"/>
      <c r="AG2" s="111"/>
      <c r="AH2" s="111"/>
    </row>
    <row r="3" spans="1:34" ht="11.2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96"/>
      <c r="L3" s="111" t="s">
        <v>264</v>
      </c>
      <c r="M3" s="111"/>
      <c r="N3" s="111"/>
      <c r="O3" s="111"/>
      <c r="P3" s="111"/>
      <c r="Q3" s="30" t="s">
        <v>295</v>
      </c>
      <c r="R3" s="111" t="s">
        <v>273</v>
      </c>
      <c r="S3" s="111"/>
      <c r="T3" s="111"/>
      <c r="U3" s="30" t="s">
        <v>283</v>
      </c>
      <c r="V3" s="30" t="s">
        <v>286</v>
      </c>
      <c r="X3" s="111" t="s">
        <v>264</v>
      </c>
      <c r="Y3" s="111"/>
      <c r="Z3" s="111"/>
      <c r="AA3" s="111"/>
      <c r="AB3" s="111"/>
      <c r="AC3" s="30" t="s">
        <v>295</v>
      </c>
      <c r="AD3" s="111" t="s">
        <v>273</v>
      </c>
      <c r="AE3" s="111"/>
      <c r="AF3" s="111"/>
      <c r="AG3" s="30" t="s">
        <v>283</v>
      </c>
      <c r="AH3" s="30" t="s">
        <v>286</v>
      </c>
    </row>
    <row r="4" spans="1:34" ht="11.2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96"/>
      <c r="L4" s="30" t="s">
        <v>266</v>
      </c>
      <c r="M4" s="30" t="s">
        <v>292</v>
      </c>
      <c r="N4" s="30" t="s">
        <v>293</v>
      </c>
      <c r="O4" s="30" t="s">
        <v>353</v>
      </c>
      <c r="P4" s="30" t="s">
        <v>294</v>
      </c>
      <c r="Q4" s="30" t="s">
        <v>296</v>
      </c>
      <c r="R4" s="30" t="s">
        <v>297</v>
      </c>
      <c r="S4" s="30" t="s">
        <v>298</v>
      </c>
      <c r="T4" s="30" t="s">
        <v>299</v>
      </c>
      <c r="U4" s="30" t="s">
        <v>284</v>
      </c>
      <c r="V4" s="30" t="s">
        <v>300</v>
      </c>
      <c r="X4" s="30" t="s">
        <v>266</v>
      </c>
      <c r="Y4" s="30" t="s">
        <v>292</v>
      </c>
      <c r="Z4" s="30" t="s">
        <v>293</v>
      </c>
      <c r="AA4" s="30" t="s">
        <v>353</v>
      </c>
      <c r="AB4" s="30" t="s">
        <v>294</v>
      </c>
      <c r="AC4" s="30" t="s">
        <v>296</v>
      </c>
      <c r="AD4" s="30" t="s">
        <v>297</v>
      </c>
      <c r="AE4" s="30" t="s">
        <v>298</v>
      </c>
      <c r="AF4" s="30" t="s">
        <v>299</v>
      </c>
      <c r="AG4" s="30" t="s">
        <v>284</v>
      </c>
      <c r="AH4" s="30" t="s">
        <v>300</v>
      </c>
    </row>
    <row r="5" spans="1:34" ht="11.25" customHeight="1" x14ac:dyDescent="0.25">
      <c r="A5" s="114" t="s">
        <v>58</v>
      </c>
      <c r="B5" s="114" t="s">
        <v>59</v>
      </c>
      <c r="C5" s="114" t="s">
        <v>25</v>
      </c>
      <c r="D5" s="114" t="s">
        <v>25</v>
      </c>
      <c r="E5" s="114" t="s">
        <v>25</v>
      </c>
      <c r="F5" s="114" t="s">
        <v>25</v>
      </c>
      <c r="G5" s="29" t="s">
        <v>61</v>
      </c>
      <c r="H5" s="29" t="s">
        <v>60</v>
      </c>
      <c r="I5" s="29">
        <f>'MERCADO TE'!$U$2</f>
        <v>0</v>
      </c>
      <c r="J5" s="15"/>
      <c r="L5" s="26">
        <f>('TE BE'!$L$5+'TE BF'!$L$5+'TE CVA'!$L$5)*1</f>
        <v>0</v>
      </c>
      <c r="M5" s="26">
        <f>('TE BE'!$M$5+'TE BF'!$M$5+'TE CVA'!$M$5)*1</f>
        <v>0</v>
      </c>
      <c r="N5" s="26">
        <f>('TE BE'!$N$5+'TE BF'!$N$5+'TE CVA'!$N$5)*1</f>
        <v>0</v>
      </c>
      <c r="O5" s="26">
        <f>('TE BE'!$O$5+'TE BF'!$O$5+'TE CVA'!$O$5)*1</f>
        <v>0</v>
      </c>
      <c r="P5" s="26">
        <f>('TE BE'!$P$5+'TE BF'!$P$5+'TE CVA'!$P$5)*1</f>
        <v>0</v>
      </c>
      <c r="Q5" s="26">
        <f>('TE BE'!$R$5+'TE BF'!$R$5+'TE CVA'!$R$5)*1</f>
        <v>192.10069561515587</v>
      </c>
      <c r="R5" s="26">
        <f>('TE BE'!$T$5+'TE BF'!$T$5+'TE CVA'!$T$5)*1</f>
        <v>0</v>
      </c>
      <c r="S5" s="26">
        <f>('TE BE'!$U$5+'TE BF'!$U$5+'TE CVA'!$U$5)*1</f>
        <v>0</v>
      </c>
      <c r="T5" s="26">
        <f>('TE BE'!$V$5+'TE BF'!$V$5+'TE CVA'!$V$5)*1</f>
        <v>0</v>
      </c>
      <c r="U5" s="26">
        <f>('TE BE'!$X$5+'TE BF'!$X$5+'TE CVA'!$X$5)*1</f>
        <v>0</v>
      </c>
      <c r="V5" s="26">
        <f>('TE BE'!$Z$5+'TE BF'!$Z$5+'TE CVA'!$Z$5)*1</f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</row>
    <row r="6" spans="1:34" ht="11.25" customHeight="1" x14ac:dyDescent="0.25">
      <c r="A6" s="114"/>
      <c r="B6" s="114"/>
      <c r="C6" s="114"/>
      <c r="D6" s="114"/>
      <c r="E6" s="114"/>
      <c r="F6" s="114"/>
      <c r="G6" s="29" t="s">
        <v>62</v>
      </c>
      <c r="H6" s="29" t="s">
        <v>60</v>
      </c>
      <c r="I6" s="29">
        <f>'MERCADO TE'!$U$3</f>
        <v>0</v>
      </c>
      <c r="J6" s="15"/>
      <c r="L6" s="26">
        <f>('TE BE'!$L$6+'TE BF'!$L$6+'TE CVA'!$L$6)*1</f>
        <v>0</v>
      </c>
      <c r="M6" s="26">
        <f>('TE BE'!$M$6+'TE BF'!$M$6+'TE CVA'!$M$6)*1</f>
        <v>0</v>
      </c>
      <c r="N6" s="26">
        <f>('TE BE'!$N$6+'TE BF'!$N$6+'TE CVA'!$N$6)*1</f>
        <v>0</v>
      </c>
      <c r="O6" s="26">
        <f>('TE BE'!$O$6+'TE BF'!$O$6+'TE CVA'!$O$6)*1</f>
        <v>0</v>
      </c>
      <c r="P6" s="26">
        <f>('TE BE'!$P$6+'TE BF'!$P$6+'TE CVA'!$P$6)*1</f>
        <v>0</v>
      </c>
      <c r="Q6" s="26">
        <f>('TE BE'!$R$6+'TE BF'!$R$6+'TE CVA'!$R$6)*1</f>
        <v>192.10069561515587</v>
      </c>
      <c r="R6" s="26">
        <f>('TE BE'!$T$6+'TE BF'!$T$6+'TE CVA'!$T$6)*1</f>
        <v>0</v>
      </c>
      <c r="S6" s="26">
        <f>('TE BE'!$U$6+'TE BF'!$U$6+'TE CVA'!$U$6)*1</f>
        <v>0</v>
      </c>
      <c r="T6" s="26">
        <f>('TE BE'!$V$6+'TE BF'!$V$6+'TE CVA'!$V$6)*1</f>
        <v>0</v>
      </c>
      <c r="U6" s="26">
        <f>('TE BE'!$X$6+'TE BF'!$X$6+'TE CVA'!$X$6)*1</f>
        <v>0</v>
      </c>
      <c r="V6" s="26">
        <f>('TE BE'!$Z$6+'TE BF'!$Z$6+'TE CVA'!$Z$6)*1</f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</row>
    <row r="7" spans="1:34" ht="11.25" customHeight="1" x14ac:dyDescent="0.25">
      <c r="A7" s="114" t="s">
        <v>22</v>
      </c>
      <c r="B7" s="114" t="s">
        <v>59</v>
      </c>
      <c r="C7" s="114" t="s">
        <v>24</v>
      </c>
      <c r="D7" s="114" t="s">
        <v>24</v>
      </c>
      <c r="E7" s="114" t="s">
        <v>25</v>
      </c>
      <c r="F7" s="114" t="s">
        <v>25</v>
      </c>
      <c r="G7" s="29" t="s">
        <v>61</v>
      </c>
      <c r="H7" s="29" t="s">
        <v>60</v>
      </c>
      <c r="I7" s="29">
        <f>'MERCADO TE'!$U$4</f>
        <v>0</v>
      </c>
      <c r="J7" s="15"/>
      <c r="L7" s="26">
        <f>('TE BE'!$L$7+'TE BF'!$L$7+'TE CVA'!$L$7)*1</f>
        <v>0</v>
      </c>
      <c r="M7" s="26">
        <f>('TE BE'!$M$7+'TE BF'!$M$7+'TE CVA'!$M$7)*1</f>
        <v>0</v>
      </c>
      <c r="N7" s="26">
        <f>('TE BE'!$N$7+'TE BF'!$N$7+'TE CVA'!$N$7)*1</f>
        <v>0</v>
      </c>
      <c r="O7" s="26">
        <f>('TE BE'!$O$7+'TE BF'!$O$7+'TE CVA'!$O$7)*1</f>
        <v>0</v>
      </c>
      <c r="P7" s="26">
        <f>('TE BE'!$P$7+'TE BF'!$P$7+'TE CVA'!$P$7)*1</f>
        <v>0</v>
      </c>
      <c r="Q7" s="26">
        <f>('TE BE'!$R$7+'TE BF'!$R$7+'TE CVA'!$R$7)*1</f>
        <v>192.10069561515587</v>
      </c>
      <c r="R7" s="26">
        <f>('TE BE'!$T$7+'TE BF'!$T$7+'TE CVA'!$T$7)*1</f>
        <v>0</v>
      </c>
      <c r="S7" s="26">
        <f>('TE BE'!$U$7+'TE BF'!$U$7+'TE CVA'!$U$7)*1</f>
        <v>0</v>
      </c>
      <c r="T7" s="26">
        <f>('TE BE'!$V$7+'TE BF'!$V$7+'TE CVA'!$V$7)*1</f>
        <v>0</v>
      </c>
      <c r="U7" s="26">
        <f>('TE BE'!$X$7+'TE BF'!$X$7+'TE CVA'!$X$7)*1</f>
        <v>0</v>
      </c>
      <c r="V7" s="26">
        <f>('TE BE'!$Z$7+'TE BF'!$Z$7+'TE CVA'!$Z$7)*1</f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248.08992566239499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</row>
    <row r="8" spans="1:34" ht="11.25" customHeight="1" x14ac:dyDescent="0.25">
      <c r="A8" s="114"/>
      <c r="B8" s="114"/>
      <c r="C8" s="114"/>
      <c r="D8" s="114"/>
      <c r="E8" s="114"/>
      <c r="F8" s="114"/>
      <c r="G8" s="29" t="s">
        <v>74</v>
      </c>
      <c r="H8" s="29" t="s">
        <v>60</v>
      </c>
      <c r="I8" s="29">
        <f>'MERCADO TE'!$U$5</f>
        <v>0</v>
      </c>
      <c r="J8" s="15"/>
      <c r="L8" s="26">
        <f>('TE BE'!$L$8+'TE BF'!$L$8+'TE CVA'!$L$8)*1</f>
        <v>0</v>
      </c>
      <c r="M8" s="26">
        <f>('TE BE'!$M$8+'TE BF'!$M$8+'TE CVA'!$M$8)*1</f>
        <v>0</v>
      </c>
      <c r="N8" s="26">
        <f>('TE BE'!$N$8+'TE BF'!$N$8+'TE CVA'!$N$8)*1</f>
        <v>0</v>
      </c>
      <c r="O8" s="26">
        <f>('TE BE'!$O$8+'TE BF'!$O$8+'TE CVA'!$O$8)*1</f>
        <v>0</v>
      </c>
      <c r="P8" s="26">
        <f>('TE BE'!$P$8+'TE BF'!$P$8+'TE CVA'!$P$8)*1</f>
        <v>0</v>
      </c>
      <c r="Q8" s="26">
        <f>('TE BE'!$R$8+'TE BF'!$R$8+'TE CVA'!$R$8)*1</f>
        <v>192.10069561515587</v>
      </c>
      <c r="R8" s="26">
        <f>('TE BE'!$T$8+'TE BF'!$T$8+'TE CVA'!$T$8)*1</f>
        <v>0</v>
      </c>
      <c r="S8" s="26">
        <f>('TE BE'!$U$8+'TE BF'!$U$8+'TE CVA'!$U$8)*1</f>
        <v>0</v>
      </c>
      <c r="T8" s="26">
        <f>('TE BE'!$V$8+'TE BF'!$V$8+'TE CVA'!$V$8)*1</f>
        <v>0</v>
      </c>
      <c r="U8" s="26">
        <f>('TE BE'!$X$8+'TE BF'!$X$8+'TE CVA'!$X$8)*1</f>
        <v>0</v>
      </c>
      <c r="V8" s="26">
        <f>('TE BE'!$Z$8+'TE BF'!$Z$8+'TE CVA'!$Z$8)*1</f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248.08992566239499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</row>
    <row r="9" spans="1:34" ht="11.25" customHeight="1" x14ac:dyDescent="0.25">
      <c r="A9" s="114"/>
      <c r="B9" s="114"/>
      <c r="C9" s="114"/>
      <c r="D9" s="114"/>
      <c r="E9" s="114"/>
      <c r="F9" s="114"/>
      <c r="G9" s="29" t="s">
        <v>62</v>
      </c>
      <c r="H9" s="29" t="s">
        <v>60</v>
      </c>
      <c r="I9" s="29">
        <f>'MERCADO TE'!$U$6</f>
        <v>0</v>
      </c>
      <c r="J9" s="15"/>
      <c r="L9" s="26">
        <f>('TE BE'!$L$9+'TE BF'!$L$9+'TE CVA'!$L$9)*1</f>
        <v>0</v>
      </c>
      <c r="M9" s="26">
        <f>('TE BE'!$M$9+'TE BF'!$M$9+'TE CVA'!$M$9)*1</f>
        <v>0</v>
      </c>
      <c r="N9" s="26">
        <f>('TE BE'!$N$9+'TE BF'!$N$9+'TE CVA'!$N$9)*1</f>
        <v>0</v>
      </c>
      <c r="O9" s="26">
        <f>('TE BE'!$O$9+'TE BF'!$O$9+'TE CVA'!$O$9)*1</f>
        <v>0</v>
      </c>
      <c r="P9" s="26">
        <f>('TE BE'!$P$9+'TE BF'!$P$9+'TE CVA'!$P$9)*1</f>
        <v>0</v>
      </c>
      <c r="Q9" s="26">
        <f>('TE BE'!$R$9+'TE BF'!$R$9+'TE CVA'!$R$9)*1</f>
        <v>192.10069561515587</v>
      </c>
      <c r="R9" s="26">
        <f>('TE BE'!$T$9+'TE BF'!$T$9+'TE CVA'!$T$9)*1</f>
        <v>0</v>
      </c>
      <c r="S9" s="26">
        <f>('TE BE'!$U$9+'TE BF'!$U$9+'TE CVA'!$U$9)*1</f>
        <v>0</v>
      </c>
      <c r="T9" s="26">
        <f>('TE BE'!$V$9+'TE BF'!$V$9+'TE CVA'!$V$9)*1</f>
        <v>0</v>
      </c>
      <c r="U9" s="26">
        <f>('TE BE'!$X$9+'TE BF'!$X$9+'TE CVA'!$X$9)*1</f>
        <v>0</v>
      </c>
      <c r="V9" s="26">
        <f>('TE BE'!$Z$9+'TE BF'!$Z$9+'TE CVA'!$Z$9)*1</f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248.08992566239499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</row>
    <row r="10" spans="1:34" ht="11.25" customHeight="1" x14ac:dyDescent="0.25">
      <c r="A10" s="114"/>
      <c r="B10" s="114" t="s">
        <v>75</v>
      </c>
      <c r="C10" s="114" t="s">
        <v>24</v>
      </c>
      <c r="D10" s="28" t="s">
        <v>24</v>
      </c>
      <c r="E10" s="28" t="s">
        <v>25</v>
      </c>
      <c r="F10" s="28" t="s">
        <v>25</v>
      </c>
      <c r="G10" s="29" t="s">
        <v>67</v>
      </c>
      <c r="H10" s="29" t="s">
        <v>60</v>
      </c>
      <c r="I10" s="29">
        <f>'MERCADO TE'!$U$7</f>
        <v>3454.3520000000003</v>
      </c>
      <c r="J10" s="15"/>
      <c r="L10" s="26">
        <f>('TE BE'!$L$10+'TE BF'!$L$10+'TE CVA'!$L$10)*1</f>
        <v>0</v>
      </c>
      <c r="M10" s="26">
        <f>('TE BE'!$M$10+'TE BF'!$M$10+'TE CVA'!$M$10)*1</f>
        <v>0</v>
      </c>
      <c r="N10" s="26">
        <f>('TE BE'!$N$10+'TE BF'!$N$10+'TE CVA'!$N$10)*1</f>
        <v>0</v>
      </c>
      <c r="O10" s="26">
        <f>('TE BE'!$O$10+'TE BF'!$O$10+'TE CVA'!$O$10)*1</f>
        <v>0</v>
      </c>
      <c r="P10" s="26">
        <f>('TE BE'!$P$10+'TE BF'!$P$10+'TE CVA'!$P$10)*1</f>
        <v>0</v>
      </c>
      <c r="Q10" s="26">
        <f>('TE BE'!$R$10+'TE BF'!$R$10+'TE CVA'!$R$10)*1</f>
        <v>192.10069561515587</v>
      </c>
      <c r="R10" s="26">
        <f>('TE BE'!$T$10+'TE BF'!$T$10+'TE CVA'!$T$10)*1</f>
        <v>0</v>
      </c>
      <c r="S10" s="26">
        <f>('TE BE'!$U$10+'TE BF'!$U$10+'TE CVA'!$U$10)*1</f>
        <v>0</v>
      </c>
      <c r="T10" s="26">
        <f>('TE BE'!$V$10+'TE BF'!$V$10+'TE CVA'!$V$10)*1</f>
        <v>0</v>
      </c>
      <c r="U10" s="26">
        <f>('TE BE'!$X$10+'TE BF'!$X$10+'TE CVA'!$X$10)*1</f>
        <v>0</v>
      </c>
      <c r="V10" s="26">
        <f>('TE BE'!$Z$10+'TE BF'!$Z$10+'TE CVA'!$Z$10)*1</f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248.08992566239499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</row>
    <row r="11" spans="1:34" ht="11.25" customHeight="1" x14ac:dyDescent="0.25">
      <c r="A11" s="114"/>
      <c r="B11" s="114"/>
      <c r="C11" s="114"/>
      <c r="D11" s="28" t="s">
        <v>41</v>
      </c>
      <c r="E11" s="28" t="s">
        <v>25</v>
      </c>
      <c r="F11" s="28" t="s">
        <v>25</v>
      </c>
      <c r="G11" s="29" t="s">
        <v>67</v>
      </c>
      <c r="H11" s="29" t="s">
        <v>60</v>
      </c>
      <c r="I11" s="29">
        <f>'MERCADO TE'!$U$8</f>
        <v>0.48000000000000009</v>
      </c>
      <c r="J11" s="15"/>
      <c r="L11" s="26">
        <f>('TE BE'!$L$11+'TE BF'!$L$11+'TE CVA'!$L$11)*(1 - 0.65)</f>
        <v>0</v>
      </c>
      <c r="M11" s="26">
        <f>('TE BE'!$M$11+'TE BF'!$M$11+'TE CVA'!$M$11)*(1 - 0.65)</f>
        <v>0</v>
      </c>
      <c r="N11" s="26">
        <f>('TE BE'!$N$11+'TE BF'!$N$11+'TE CVA'!$N$11)*(1 - 0.65)</f>
        <v>0</v>
      </c>
      <c r="O11" s="26">
        <f>('TE BE'!$O$11+'TE BF'!$O$11+'TE CVA'!$O$11)*(1 - 0.65)</f>
        <v>0</v>
      </c>
      <c r="P11" s="26">
        <f>('TE BE'!$P$11+'TE BF'!$P$11+'TE CVA'!$P$11)*(1 - 0.65)</f>
        <v>0</v>
      </c>
      <c r="Q11" s="26">
        <f>('TE BE'!$R$11+'TE BF'!$R$11+'TE CVA'!$R$11)*(1 - 0.65)</f>
        <v>67.235243465304549</v>
      </c>
      <c r="R11" s="26">
        <f>('TE BE'!$T$11+'TE BF'!$T$11+'TE CVA'!$T$11)*(1 - 0.65)</f>
        <v>0</v>
      </c>
      <c r="S11" s="26">
        <f>('TE BE'!$U$11+'TE BF'!$U$11+'TE CVA'!$U$11)*(1 - 0.65)</f>
        <v>0</v>
      </c>
      <c r="T11" s="26">
        <f>('TE BE'!$V$11+'TE BF'!$V$11+'TE CVA'!$V$11)*(1 - 0.65)</f>
        <v>0</v>
      </c>
      <c r="U11" s="26">
        <f>('TE BE'!$X$11+'TE BF'!$X$11+'TE CVA'!$X$11)*(1 - 0.65)</f>
        <v>0</v>
      </c>
      <c r="V11" s="26">
        <f>('TE BE'!$Z$11+'TE BF'!$Z$11+'TE CVA'!$Z$11)*(1 - 0.65)</f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86.831473981838201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</row>
    <row r="12" spans="1:34" ht="11.25" customHeight="1" x14ac:dyDescent="0.25">
      <c r="A12" s="114"/>
      <c r="B12" s="114"/>
      <c r="C12" s="114"/>
      <c r="D12" s="28" t="s">
        <v>42</v>
      </c>
      <c r="E12" s="28" t="s">
        <v>25</v>
      </c>
      <c r="F12" s="28" t="s">
        <v>25</v>
      </c>
      <c r="G12" s="29" t="s">
        <v>67</v>
      </c>
      <c r="H12" s="29" t="s">
        <v>60</v>
      </c>
      <c r="I12" s="29">
        <f>'MERCADO TE'!$U$9</f>
        <v>7.3130000000000006</v>
      </c>
      <c r="J12" s="15"/>
      <c r="L12" s="26">
        <f>('TE BE'!$L$12+'TE BF'!$L$12+'TE CVA'!$L$12)*(1 - 0.4)</f>
        <v>0</v>
      </c>
      <c r="M12" s="26">
        <f>('TE BE'!$M$12+'TE BF'!$M$12+'TE CVA'!$M$12)*(1 - 0.4)</f>
        <v>0</v>
      </c>
      <c r="N12" s="26">
        <f>('TE BE'!$N$12+'TE BF'!$N$12+'TE CVA'!$N$12)*(1 - 0.4)</f>
        <v>0</v>
      </c>
      <c r="O12" s="26">
        <f>('TE BE'!$O$12+'TE BF'!$O$12+'TE CVA'!$O$12)*(1 - 0.4)</f>
        <v>0</v>
      </c>
      <c r="P12" s="26">
        <f>('TE BE'!$P$12+'TE BF'!$P$12+'TE CVA'!$P$12)*(1 - 0.4)</f>
        <v>0</v>
      </c>
      <c r="Q12" s="26">
        <f>('TE BE'!$R$12+'TE BF'!$R$12+'TE CVA'!$R$12)*(1 - 0.4)</f>
        <v>115.26041736909352</v>
      </c>
      <c r="R12" s="26">
        <f>('TE BE'!$T$12+'TE BF'!$T$12+'TE CVA'!$T$12)*(1 - 0.4)</f>
        <v>0</v>
      </c>
      <c r="S12" s="26">
        <f>('TE BE'!$U$12+'TE BF'!$U$12+'TE CVA'!$U$12)*(1 - 0.4)</f>
        <v>0</v>
      </c>
      <c r="T12" s="26">
        <f>('TE BE'!$V$12+'TE BF'!$V$12+'TE CVA'!$V$12)*(1 - 0.4)</f>
        <v>0</v>
      </c>
      <c r="U12" s="26">
        <f>('TE BE'!$X$12+'TE BF'!$X$12+'TE CVA'!$X$12)*(1 - 0.4)</f>
        <v>0</v>
      </c>
      <c r="V12" s="26">
        <f>('TE BE'!$Z$12+'TE BF'!$Z$12+'TE CVA'!$Z$12)*(1 - 0.4)</f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148.85395539743701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</row>
    <row r="13" spans="1:34" ht="11.25" customHeight="1" x14ac:dyDescent="0.25">
      <c r="A13" s="114"/>
      <c r="B13" s="114"/>
      <c r="C13" s="114"/>
      <c r="D13" s="28" t="s">
        <v>39</v>
      </c>
      <c r="E13" s="28" t="s">
        <v>25</v>
      </c>
      <c r="F13" s="28" t="s">
        <v>25</v>
      </c>
      <c r="G13" s="29" t="s">
        <v>67</v>
      </c>
      <c r="H13" s="29" t="s">
        <v>60</v>
      </c>
      <c r="I13" s="29">
        <f>'MERCADO TE'!$U$10</f>
        <v>77.287999999999997</v>
      </c>
      <c r="J13" s="15"/>
      <c r="L13" s="26">
        <f>('TE BE'!$L$13+'TE BF'!$L$13+'TE CVA'!$L$13)*(1 - 0.1)</f>
        <v>0</v>
      </c>
      <c r="M13" s="26">
        <f>('TE BE'!$M$13+'TE BF'!$M$13+'TE CVA'!$M$13)*(1 - 0.1)</f>
        <v>0</v>
      </c>
      <c r="N13" s="26">
        <f>('TE BE'!$N$13+'TE BF'!$N$13+'TE CVA'!$N$13)*(1 - 0.1)</f>
        <v>0</v>
      </c>
      <c r="O13" s="26">
        <f>('TE BE'!$O$13+'TE BF'!$O$13+'TE CVA'!$O$13)*(1 - 0.1)</f>
        <v>0</v>
      </c>
      <c r="P13" s="26">
        <f>('TE BE'!$P$13+'TE BF'!$P$13+'TE CVA'!$P$13)*(1 - 0.1)</f>
        <v>0</v>
      </c>
      <c r="Q13" s="26">
        <f>('TE BE'!$R$13+'TE BF'!$R$13+'TE CVA'!$R$13)*(1 - 0.1)</f>
        <v>172.89062605364029</v>
      </c>
      <c r="R13" s="26">
        <f>('TE BE'!$T$13+'TE BF'!$T$13+'TE CVA'!$T$13)*(1 - 0.1)</f>
        <v>0</v>
      </c>
      <c r="S13" s="26">
        <f>('TE BE'!$U$13+'TE BF'!$U$13+'TE CVA'!$U$13)*(1 - 0.1)</f>
        <v>0</v>
      </c>
      <c r="T13" s="26">
        <f>('TE BE'!$V$13+'TE BF'!$V$13+'TE CVA'!$V$13)*(1 - 0.1)</f>
        <v>0</v>
      </c>
      <c r="U13" s="26">
        <f>('TE BE'!$X$13+'TE BF'!$X$13+'TE CVA'!$X$13)*(1 - 0.1)</f>
        <v>0</v>
      </c>
      <c r="V13" s="26">
        <f>('TE BE'!$Z$13+'TE BF'!$Z$13+'TE CVA'!$Z$13)*(1 - 0.1)</f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223.280933096155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</row>
    <row r="14" spans="1:34" ht="11.25" customHeight="1" x14ac:dyDescent="0.25">
      <c r="A14" s="114"/>
      <c r="B14" s="114"/>
      <c r="C14" s="114"/>
      <c r="D14" s="28" t="s">
        <v>40</v>
      </c>
      <c r="E14" s="28" t="s">
        <v>25</v>
      </c>
      <c r="F14" s="28" t="s">
        <v>25</v>
      </c>
      <c r="G14" s="29" t="s">
        <v>67</v>
      </c>
      <c r="H14" s="29" t="s">
        <v>60</v>
      </c>
      <c r="I14" s="29">
        <f>'MERCADO TE'!$U$11</f>
        <v>81.510999999999996</v>
      </c>
      <c r="J14" s="15"/>
      <c r="L14" s="26">
        <f>('TE BE'!$L$14+'TE BF'!$L$14+'TE CVA'!$L$14)*1</f>
        <v>0</v>
      </c>
      <c r="M14" s="26">
        <f>('TE BE'!$M$14+'TE BF'!$M$14+'TE CVA'!$M$14)*1</f>
        <v>0</v>
      </c>
      <c r="N14" s="26">
        <f>('TE BE'!$N$14+'TE BF'!$N$14+'TE CVA'!$N$14)*1</f>
        <v>0</v>
      </c>
      <c r="O14" s="26">
        <f>('TE BE'!$O$14+'TE BF'!$O$14+'TE CVA'!$O$14)*1</f>
        <v>0</v>
      </c>
      <c r="P14" s="26">
        <f>('TE BE'!$P$14+'TE BF'!$P$14+'TE CVA'!$P$14)*1</f>
        <v>0</v>
      </c>
      <c r="Q14" s="26">
        <f>('TE BE'!$R$14+'TE BF'!$R$14+'TE CVA'!$R$14)*1</f>
        <v>192.10069561515587</v>
      </c>
      <c r="R14" s="26">
        <f>('TE BE'!$T$14+'TE BF'!$T$14+'TE CVA'!$T$14)*1</f>
        <v>0</v>
      </c>
      <c r="S14" s="26">
        <f>('TE BE'!$U$14+'TE BF'!$U$14+'TE CVA'!$U$14)*1</f>
        <v>0</v>
      </c>
      <c r="T14" s="26">
        <f>('TE BE'!$V$14+'TE BF'!$V$14+'TE CVA'!$V$14)*1</f>
        <v>0</v>
      </c>
      <c r="U14" s="26">
        <f>('TE BE'!$X$14+'TE BF'!$X$14+'TE CVA'!$X$14)*1</f>
        <v>0</v>
      </c>
      <c r="V14" s="26">
        <f>('TE BE'!$Z$14+'TE BF'!$Z$14+'TE CVA'!$Z$14)*1</f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248.08992566239499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</row>
    <row r="15" spans="1:34" ht="11.25" customHeight="1" x14ac:dyDescent="0.25">
      <c r="A15" s="114"/>
      <c r="B15" s="114" t="s">
        <v>77</v>
      </c>
      <c r="C15" s="114" t="s">
        <v>24</v>
      </c>
      <c r="D15" s="28" t="s">
        <v>24</v>
      </c>
      <c r="E15" s="28" t="s">
        <v>25</v>
      </c>
      <c r="F15" s="28" t="s">
        <v>25</v>
      </c>
      <c r="G15" s="29" t="s">
        <v>67</v>
      </c>
      <c r="H15" s="29" t="s">
        <v>60</v>
      </c>
      <c r="I15" s="29">
        <f>'MERCADO TE'!$U$12</f>
        <v>0</v>
      </c>
      <c r="J15" s="15"/>
      <c r="L15" s="26">
        <f>('TE BE'!$L$15+'TE BF'!$L$15+'TE CVA'!$L$15)*1</f>
        <v>0</v>
      </c>
      <c r="M15" s="26">
        <f>('TE BE'!$M$15+'TE BF'!$M$15+'TE CVA'!$M$15)*1</f>
        <v>0</v>
      </c>
      <c r="N15" s="26">
        <f>('TE BE'!$N$15+'TE BF'!$N$15+'TE CVA'!$N$15)*1</f>
        <v>0</v>
      </c>
      <c r="O15" s="26">
        <f>('TE BE'!$O$15+'TE BF'!$O$15+'TE CVA'!$O$15)*1</f>
        <v>0</v>
      </c>
      <c r="P15" s="26">
        <f>('TE BE'!$P$15+'TE BF'!$P$15+'TE CVA'!$P$15)*1</f>
        <v>0</v>
      </c>
      <c r="Q15" s="26">
        <f>('TE BE'!$R$15+'TE BF'!$R$15+'TE CVA'!$R$15)*1</f>
        <v>192.10069561515587</v>
      </c>
      <c r="R15" s="26">
        <f>('TE BE'!$T$15+'TE BF'!$T$15+'TE CVA'!$T$15)*1</f>
        <v>0</v>
      </c>
      <c r="S15" s="26">
        <f>('TE BE'!$U$15+'TE BF'!$U$15+'TE CVA'!$U$15)*1</f>
        <v>0</v>
      </c>
      <c r="T15" s="26">
        <f>('TE BE'!$V$15+'TE BF'!$V$15+'TE CVA'!$V$15)*1</f>
        <v>0</v>
      </c>
      <c r="U15" s="26">
        <f>('TE BE'!$X$15+'TE BF'!$X$15+'TE CVA'!$X$15)*1</f>
        <v>0</v>
      </c>
      <c r="V15" s="26">
        <f>('TE BE'!$Z$15+'TE BF'!$Z$15+'TE CVA'!$Z$15)*1</f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248.08992566239499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</row>
    <row r="16" spans="1:34" ht="11.25" customHeight="1" x14ac:dyDescent="0.25">
      <c r="A16" s="114"/>
      <c r="B16" s="114"/>
      <c r="C16" s="114"/>
      <c r="D16" s="28" t="s">
        <v>41</v>
      </c>
      <c r="E16" s="28" t="s">
        <v>25</v>
      </c>
      <c r="F16" s="28" t="s">
        <v>25</v>
      </c>
      <c r="G16" s="29" t="s">
        <v>67</v>
      </c>
      <c r="H16" s="29" t="s">
        <v>60</v>
      </c>
      <c r="I16" s="29">
        <f>'MERCADO TE'!$U$13</f>
        <v>0</v>
      </c>
      <c r="J16" s="15"/>
      <c r="L16" s="26">
        <f>('TE BE'!$L$16+'TE BF'!$L$16+'TE CVA'!$L$16)*(1 - 0.65)</f>
        <v>0</v>
      </c>
      <c r="M16" s="26">
        <f>('TE BE'!$M$16+'TE BF'!$M$16+'TE CVA'!$M$16)*(1 - 0.65)</f>
        <v>0</v>
      </c>
      <c r="N16" s="26">
        <f>('TE BE'!$N$16+'TE BF'!$N$16+'TE CVA'!$N$16)*(1 - 0.65)</f>
        <v>0</v>
      </c>
      <c r="O16" s="26">
        <f>('TE BE'!$O$16+'TE BF'!$O$16+'TE CVA'!$O$16)*(1 - 0.65)</f>
        <v>0</v>
      </c>
      <c r="P16" s="26">
        <f>('TE BE'!$P$16+'TE BF'!$P$16+'TE CVA'!$P$16)*(1 - 0.65)</f>
        <v>0</v>
      </c>
      <c r="Q16" s="26">
        <f>('TE BE'!$R$16+'TE BF'!$R$16+'TE CVA'!$R$16)*(1 - 0.65)</f>
        <v>67.235243465304549</v>
      </c>
      <c r="R16" s="26">
        <f>('TE BE'!$T$16+'TE BF'!$T$16+'TE CVA'!$T$16)*(1 - 0.65)</f>
        <v>0</v>
      </c>
      <c r="S16" s="26">
        <f>('TE BE'!$U$16+'TE BF'!$U$16+'TE CVA'!$U$16)*(1 - 0.65)</f>
        <v>0</v>
      </c>
      <c r="T16" s="26">
        <f>('TE BE'!$V$16+'TE BF'!$V$16+'TE CVA'!$V$16)*(1 - 0.65)</f>
        <v>0</v>
      </c>
      <c r="U16" s="26">
        <f>('TE BE'!$X$16+'TE BF'!$X$16+'TE CVA'!$X$16)*(1 - 0.65)</f>
        <v>0</v>
      </c>
      <c r="V16" s="26">
        <f>('TE BE'!$Z$16+'TE BF'!$Z$16+'TE CVA'!$Z$16)*(1 - 0.65)</f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86.831473981838201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</row>
    <row r="17" spans="1:34" ht="11.25" customHeight="1" x14ac:dyDescent="0.25">
      <c r="A17" s="114"/>
      <c r="B17" s="114"/>
      <c r="C17" s="114"/>
      <c r="D17" s="28" t="s">
        <v>42</v>
      </c>
      <c r="E17" s="28" t="s">
        <v>25</v>
      </c>
      <c r="F17" s="28" t="s">
        <v>25</v>
      </c>
      <c r="G17" s="29" t="s">
        <v>67</v>
      </c>
      <c r="H17" s="29" t="s">
        <v>60</v>
      </c>
      <c r="I17" s="29">
        <f>'MERCADO TE'!$U$14</f>
        <v>0</v>
      </c>
      <c r="J17" s="15"/>
      <c r="L17" s="26">
        <f>('TE BE'!$L$17+'TE BF'!$L$17+'TE CVA'!$L$17)*(1 - 0.4)</f>
        <v>0</v>
      </c>
      <c r="M17" s="26">
        <f>('TE BE'!$M$17+'TE BF'!$M$17+'TE CVA'!$M$17)*(1 - 0.4)</f>
        <v>0</v>
      </c>
      <c r="N17" s="26">
        <f>('TE BE'!$N$17+'TE BF'!$N$17+'TE CVA'!$N$17)*(1 - 0.4)</f>
        <v>0</v>
      </c>
      <c r="O17" s="26">
        <f>('TE BE'!$O$17+'TE BF'!$O$17+'TE CVA'!$O$17)*(1 - 0.4)</f>
        <v>0</v>
      </c>
      <c r="P17" s="26">
        <f>('TE BE'!$P$17+'TE BF'!$P$17+'TE CVA'!$P$17)*(1 - 0.4)</f>
        <v>0</v>
      </c>
      <c r="Q17" s="26">
        <f>('TE BE'!$R$17+'TE BF'!$R$17+'TE CVA'!$R$17)*(1 - 0.4)</f>
        <v>115.26041736909352</v>
      </c>
      <c r="R17" s="26">
        <f>('TE BE'!$T$17+'TE BF'!$T$17+'TE CVA'!$T$17)*(1 - 0.4)</f>
        <v>0</v>
      </c>
      <c r="S17" s="26">
        <f>('TE BE'!$U$17+'TE BF'!$U$17+'TE CVA'!$U$17)*(1 - 0.4)</f>
        <v>0</v>
      </c>
      <c r="T17" s="26">
        <f>('TE BE'!$V$17+'TE BF'!$V$17+'TE CVA'!$V$17)*(1 - 0.4)</f>
        <v>0</v>
      </c>
      <c r="U17" s="26">
        <f>('TE BE'!$X$17+'TE BF'!$X$17+'TE CVA'!$X$17)*(1 - 0.4)</f>
        <v>0</v>
      </c>
      <c r="V17" s="26">
        <f>('TE BE'!$Z$17+'TE BF'!$Z$17+'TE CVA'!$Z$17)*(1 - 0.4)</f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148.85395539743701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</row>
    <row r="18" spans="1:34" ht="11.25" customHeight="1" x14ac:dyDescent="0.25">
      <c r="A18" s="114"/>
      <c r="B18" s="114"/>
      <c r="C18" s="114"/>
      <c r="D18" s="28" t="s">
        <v>39</v>
      </c>
      <c r="E18" s="28" t="s">
        <v>25</v>
      </c>
      <c r="F18" s="28" t="s">
        <v>25</v>
      </c>
      <c r="G18" s="29" t="s">
        <v>67</v>
      </c>
      <c r="H18" s="29" t="s">
        <v>60</v>
      </c>
      <c r="I18" s="29">
        <f>'MERCADO TE'!$U$15</f>
        <v>0</v>
      </c>
      <c r="J18" s="15"/>
      <c r="L18" s="26">
        <f>('TE BE'!$L$18+'TE BF'!$L$18+'TE CVA'!$L$18)*(1 - 0.1)</f>
        <v>0</v>
      </c>
      <c r="M18" s="26">
        <f>('TE BE'!$M$18+'TE BF'!$M$18+'TE CVA'!$M$18)*(1 - 0.1)</f>
        <v>0</v>
      </c>
      <c r="N18" s="26">
        <f>('TE BE'!$N$18+'TE BF'!$N$18+'TE CVA'!$N$18)*(1 - 0.1)</f>
        <v>0</v>
      </c>
      <c r="O18" s="26">
        <f>('TE BE'!$O$18+'TE BF'!$O$18+'TE CVA'!$O$18)*(1 - 0.1)</f>
        <v>0</v>
      </c>
      <c r="P18" s="26">
        <f>('TE BE'!$P$18+'TE BF'!$P$18+'TE CVA'!$P$18)*(1 - 0.1)</f>
        <v>0</v>
      </c>
      <c r="Q18" s="26">
        <f>('TE BE'!$R$18+'TE BF'!$R$18+'TE CVA'!$R$18)*(1 - 0.1)</f>
        <v>172.89062605364029</v>
      </c>
      <c r="R18" s="26">
        <f>('TE BE'!$T$18+'TE BF'!$T$18+'TE CVA'!$T$18)*(1 - 0.1)</f>
        <v>0</v>
      </c>
      <c r="S18" s="26">
        <f>('TE BE'!$U$18+'TE BF'!$U$18+'TE CVA'!$U$18)*(1 - 0.1)</f>
        <v>0</v>
      </c>
      <c r="T18" s="26">
        <f>('TE BE'!$V$18+'TE BF'!$V$18+'TE CVA'!$V$18)*(1 - 0.1)</f>
        <v>0</v>
      </c>
      <c r="U18" s="26">
        <f>('TE BE'!$X$18+'TE BF'!$X$18+'TE CVA'!$X$18)*(1 - 0.1)</f>
        <v>0</v>
      </c>
      <c r="V18" s="26">
        <f>('TE BE'!$Z$18+'TE BF'!$Z$18+'TE CVA'!$Z$18)*(1 - 0.1)</f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223.280933096155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</row>
    <row r="19" spans="1:34" ht="11.25" customHeight="1" x14ac:dyDescent="0.25">
      <c r="A19" s="114"/>
      <c r="B19" s="114"/>
      <c r="C19" s="114"/>
      <c r="D19" s="28" t="s">
        <v>40</v>
      </c>
      <c r="E19" s="28" t="s">
        <v>25</v>
      </c>
      <c r="F19" s="28" t="s">
        <v>25</v>
      </c>
      <c r="G19" s="29" t="s">
        <v>67</v>
      </c>
      <c r="H19" s="29" t="s">
        <v>60</v>
      </c>
      <c r="I19" s="29">
        <f>'MERCADO TE'!$U$16</f>
        <v>0</v>
      </c>
      <c r="J19" s="15"/>
      <c r="L19" s="26">
        <f>('TE BE'!$L$19+'TE BF'!$L$19+'TE CVA'!$L$19)*1</f>
        <v>0</v>
      </c>
      <c r="M19" s="26">
        <f>('TE BE'!$M$19+'TE BF'!$M$19+'TE CVA'!$M$19)*1</f>
        <v>0</v>
      </c>
      <c r="N19" s="26">
        <f>('TE BE'!$N$19+'TE BF'!$N$19+'TE CVA'!$N$19)*1</f>
        <v>0</v>
      </c>
      <c r="O19" s="26">
        <f>('TE BE'!$O$19+'TE BF'!$O$19+'TE CVA'!$O$19)*1</f>
        <v>0</v>
      </c>
      <c r="P19" s="26">
        <f>('TE BE'!$P$19+'TE BF'!$P$19+'TE CVA'!$P$19)*1</f>
        <v>0</v>
      </c>
      <c r="Q19" s="26">
        <f>('TE BE'!$R$19+'TE BF'!$R$19+'TE CVA'!$R$19)*1</f>
        <v>192.10069561515587</v>
      </c>
      <c r="R19" s="26">
        <f>('TE BE'!$T$19+'TE BF'!$T$19+'TE CVA'!$T$19)*1</f>
        <v>0</v>
      </c>
      <c r="S19" s="26">
        <f>('TE BE'!$U$19+'TE BF'!$U$19+'TE CVA'!$U$19)*1</f>
        <v>0</v>
      </c>
      <c r="T19" s="26">
        <f>('TE BE'!$V$19+'TE BF'!$V$19+'TE CVA'!$V$19)*1</f>
        <v>0</v>
      </c>
      <c r="U19" s="26">
        <f>('TE BE'!$X$19+'TE BF'!$X$19+'TE CVA'!$X$19)*1</f>
        <v>0</v>
      </c>
      <c r="V19" s="26">
        <f>('TE BE'!$Z$19+'TE BF'!$Z$19+'TE CVA'!$Z$19)*1</f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248.08992566239499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</row>
    <row r="20" spans="1:34" ht="11.25" customHeight="1" x14ac:dyDescent="0.25">
      <c r="A20" s="114" t="s">
        <v>31</v>
      </c>
      <c r="B20" s="114" t="s">
        <v>59</v>
      </c>
      <c r="C20" s="114" t="s">
        <v>32</v>
      </c>
      <c r="D20" s="114" t="s">
        <v>25</v>
      </c>
      <c r="E20" s="114" t="s">
        <v>25</v>
      </c>
      <c r="F20" s="114" t="s">
        <v>25</v>
      </c>
      <c r="G20" s="29" t="s">
        <v>61</v>
      </c>
      <c r="H20" s="29" t="s">
        <v>60</v>
      </c>
      <c r="I20" s="29">
        <f>'MERCADO TE'!$U$17</f>
        <v>0</v>
      </c>
      <c r="J20" s="15"/>
      <c r="L20" s="26">
        <f>('TE BE'!$L$20+'TE BF'!$L$20+'TE CVA'!$L$20)*(1 - CUSTOS!$M$38)</f>
        <v>0</v>
      </c>
      <c r="M20" s="26">
        <f>('TE BE'!$M$20+'TE BF'!$M$20+'TE CVA'!$M$20)*(1 - CUSTOS!$M$38)</f>
        <v>0</v>
      </c>
      <c r="N20" s="26">
        <f>('TE BE'!$N$20+'TE BF'!$N$20+'TE CVA'!$N$20)*(1 - CUSTOS!$M$38)</f>
        <v>0</v>
      </c>
      <c r="O20" s="26">
        <f>('TE BE'!$O$20+'TE BF'!$O$20+'TE CVA'!$O$20)*(1 - CUSTOS!$M$38)</f>
        <v>0</v>
      </c>
      <c r="P20" s="26">
        <f>('TE BE'!$P$20+'TE BF'!$P$20+'TE CVA'!$P$20)*(1 - CUSTOS!$M$38)</f>
        <v>0</v>
      </c>
      <c r="Q20" s="26">
        <f>('TE BE'!$R$20+'TE BF'!$R$20+'TE CVA'!$R$20)*(1 - CUSTOS!$M$38)</f>
        <v>180.57465387824652</v>
      </c>
      <c r="R20" s="26">
        <f>('TE BE'!$T$20+'TE BF'!$T$20+'TE CVA'!$T$20)*(1 - CUSTOS!$M$38)</f>
        <v>0</v>
      </c>
      <c r="S20" s="26">
        <f>('TE BE'!$U$20+'TE BF'!$U$20+'TE CVA'!$U$20)*(1 - CUSTOS!$M$38)</f>
        <v>0</v>
      </c>
      <c r="T20" s="26">
        <f>('TE BE'!$V$20+'TE BF'!$V$20+'TE CVA'!$V$20)*(1 - CUSTOS!$M$38)</f>
        <v>0</v>
      </c>
      <c r="U20" s="26">
        <f>('TE BE'!$X$20+'TE BF'!$X$20+'TE CVA'!$X$20)*(1 - CUSTOS!$M$38)</f>
        <v>0</v>
      </c>
      <c r="V20" s="26">
        <f>('TE BE'!$Z$20+'TE BF'!$Z$20+'TE CVA'!$Z$20)*(1 - CUSTOS!$M$38)</f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218.319134582907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</row>
    <row r="21" spans="1:34" ht="11.25" customHeight="1" x14ac:dyDescent="0.25">
      <c r="A21" s="114"/>
      <c r="B21" s="114"/>
      <c r="C21" s="114"/>
      <c r="D21" s="114"/>
      <c r="E21" s="114"/>
      <c r="F21" s="114"/>
      <c r="G21" s="29" t="s">
        <v>74</v>
      </c>
      <c r="H21" s="29" t="s">
        <v>60</v>
      </c>
      <c r="I21" s="29">
        <f>'MERCADO TE'!$U$18</f>
        <v>0</v>
      </c>
      <c r="J21" s="15"/>
      <c r="L21" s="26">
        <f>('TE BE'!$L$21+'TE BF'!$L$21+'TE CVA'!$L$21)*(1 - CUSTOS!$M$38)</f>
        <v>0</v>
      </c>
      <c r="M21" s="26">
        <f>('TE BE'!$M$21+'TE BF'!$M$21+'TE CVA'!$M$21)*(1 - CUSTOS!$M$38)</f>
        <v>0</v>
      </c>
      <c r="N21" s="26">
        <f>('TE BE'!$N$21+'TE BF'!$N$21+'TE CVA'!$N$21)*(1 - CUSTOS!$M$38)</f>
        <v>0</v>
      </c>
      <c r="O21" s="26">
        <f>('TE BE'!$O$21+'TE BF'!$O$21+'TE CVA'!$O$21)*(1 - CUSTOS!$M$38)</f>
        <v>0</v>
      </c>
      <c r="P21" s="26">
        <f>('TE BE'!$P$21+'TE BF'!$P$21+'TE CVA'!$P$21)*(1 - CUSTOS!$M$38)</f>
        <v>0</v>
      </c>
      <c r="Q21" s="26">
        <f>('TE BE'!$R$21+'TE BF'!$R$21+'TE CVA'!$R$21)*(1 - CUSTOS!$M$38)</f>
        <v>180.57465387824652</v>
      </c>
      <c r="R21" s="26">
        <f>('TE BE'!$T$21+'TE BF'!$T$21+'TE CVA'!$T$21)*(1 - CUSTOS!$M$38)</f>
        <v>0</v>
      </c>
      <c r="S21" s="26">
        <f>('TE BE'!$U$21+'TE BF'!$U$21+'TE CVA'!$U$21)*(1 - CUSTOS!$M$38)</f>
        <v>0</v>
      </c>
      <c r="T21" s="26">
        <f>('TE BE'!$V$21+'TE BF'!$V$21+'TE CVA'!$V$21)*(1 - CUSTOS!$M$38)</f>
        <v>0</v>
      </c>
      <c r="U21" s="26">
        <f>('TE BE'!$X$21+'TE BF'!$X$21+'TE CVA'!$X$21)*(1 - CUSTOS!$M$38)</f>
        <v>0</v>
      </c>
      <c r="V21" s="26">
        <f>('TE BE'!$Z$21+'TE BF'!$Z$21+'TE CVA'!$Z$21)*(1 - CUSTOS!$M$38)</f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218.319134582907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</row>
    <row r="22" spans="1:34" ht="11.25" customHeight="1" x14ac:dyDescent="0.25">
      <c r="A22" s="114"/>
      <c r="B22" s="114"/>
      <c r="C22" s="114"/>
      <c r="D22" s="114"/>
      <c r="E22" s="114"/>
      <c r="F22" s="114"/>
      <c r="G22" s="29" t="s">
        <v>62</v>
      </c>
      <c r="H22" s="29" t="s">
        <v>60</v>
      </c>
      <c r="I22" s="29">
        <f>'MERCADO TE'!$U$19</f>
        <v>0</v>
      </c>
      <c r="J22" s="15"/>
      <c r="L22" s="26">
        <f>('TE BE'!$L$22+'TE BF'!$L$22+'TE CVA'!$L$22)*(1 - CUSTOS!$M$38)</f>
        <v>0</v>
      </c>
      <c r="M22" s="26">
        <f>('TE BE'!$M$22+'TE BF'!$M$22+'TE CVA'!$M$22)*(1 - CUSTOS!$M$38)</f>
        <v>0</v>
      </c>
      <c r="N22" s="26">
        <f>('TE BE'!$N$22+'TE BF'!$N$22+'TE CVA'!$N$22)*(1 - CUSTOS!$M$38)</f>
        <v>0</v>
      </c>
      <c r="O22" s="26">
        <f>('TE BE'!$O$22+'TE BF'!$O$22+'TE CVA'!$O$22)*(1 - CUSTOS!$M$38)</f>
        <v>0</v>
      </c>
      <c r="P22" s="26">
        <f>('TE BE'!$P$22+'TE BF'!$P$22+'TE CVA'!$P$22)*(1 - CUSTOS!$M$38)</f>
        <v>0</v>
      </c>
      <c r="Q22" s="26">
        <f>('TE BE'!$R$22+'TE BF'!$R$22+'TE CVA'!$R$22)*(1 - CUSTOS!$M$38)</f>
        <v>180.57465387824652</v>
      </c>
      <c r="R22" s="26">
        <f>('TE BE'!$T$22+'TE BF'!$T$22+'TE CVA'!$T$22)*(1 - CUSTOS!$M$38)</f>
        <v>0</v>
      </c>
      <c r="S22" s="26">
        <f>('TE BE'!$U$22+'TE BF'!$U$22+'TE CVA'!$U$22)*(1 - CUSTOS!$M$38)</f>
        <v>0</v>
      </c>
      <c r="T22" s="26">
        <f>('TE BE'!$V$22+'TE BF'!$V$22+'TE CVA'!$V$22)*(1 - CUSTOS!$M$38)</f>
        <v>0</v>
      </c>
      <c r="U22" s="26">
        <f>('TE BE'!$X$22+'TE BF'!$X$22+'TE CVA'!$X$22)*(1 - CUSTOS!$M$38)</f>
        <v>0</v>
      </c>
      <c r="V22" s="26">
        <f>('TE BE'!$Z$22+'TE BF'!$Z$22+'TE CVA'!$Z$22)*(1 - CUSTOS!$M$38)</f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218.319134582907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</row>
    <row r="23" spans="1:34" ht="11.25" customHeight="1" x14ac:dyDescent="0.25">
      <c r="A23" s="114"/>
      <c r="B23" s="28" t="s">
        <v>75</v>
      </c>
      <c r="C23" s="28" t="s">
        <v>32</v>
      </c>
      <c r="D23" s="28" t="s">
        <v>25</v>
      </c>
      <c r="E23" s="28" t="s">
        <v>25</v>
      </c>
      <c r="F23" s="28" t="s">
        <v>25</v>
      </c>
      <c r="G23" s="29" t="s">
        <v>67</v>
      </c>
      <c r="H23" s="29" t="s">
        <v>60</v>
      </c>
      <c r="I23" s="29">
        <f>'MERCADO TE'!$U$20</f>
        <v>6180.567</v>
      </c>
      <c r="J23" s="15"/>
      <c r="L23" s="26">
        <f>('TE BE'!$L$23+'TE BF'!$L$23+'TE CVA'!$L$23)*(1 - CUSTOS!$M$38)</f>
        <v>0</v>
      </c>
      <c r="M23" s="26">
        <f>('TE BE'!$M$23+'TE BF'!$M$23+'TE CVA'!$M$23)*(1 - CUSTOS!$M$38)</f>
        <v>0</v>
      </c>
      <c r="N23" s="26">
        <f>('TE BE'!$N$23+'TE BF'!$N$23+'TE CVA'!$N$23)*(1 - CUSTOS!$M$38)</f>
        <v>0</v>
      </c>
      <c r="O23" s="26">
        <f>('TE BE'!$O$23+'TE BF'!$O$23+'TE CVA'!$O$23)*(1 - CUSTOS!$M$38)</f>
        <v>0</v>
      </c>
      <c r="P23" s="26">
        <f>('TE BE'!$P$23+'TE BF'!$P$23+'TE CVA'!$P$23)*(1 - CUSTOS!$M$38)</f>
        <v>0</v>
      </c>
      <c r="Q23" s="26">
        <f>('TE BE'!$R$23+'TE BF'!$R$23+'TE CVA'!$R$23)*(1 - CUSTOS!$M$38)</f>
        <v>180.57465387824652</v>
      </c>
      <c r="R23" s="26">
        <f>('TE BE'!$T$23+'TE BF'!$T$23+'TE CVA'!$T$23)*(1 - CUSTOS!$M$38)</f>
        <v>0</v>
      </c>
      <c r="S23" s="26">
        <f>('TE BE'!$U$23+'TE BF'!$U$23+'TE CVA'!$U$23)*(1 - CUSTOS!$M$38)</f>
        <v>0</v>
      </c>
      <c r="T23" s="26">
        <f>('TE BE'!$V$23+'TE BF'!$V$23+'TE CVA'!$V$23)*(1 - CUSTOS!$M$38)</f>
        <v>0</v>
      </c>
      <c r="U23" s="26">
        <f>('TE BE'!$X$23+'TE BF'!$X$23+'TE CVA'!$X$23)*(1 - CUSTOS!$M$38)</f>
        <v>0</v>
      </c>
      <c r="V23" s="26">
        <f>('TE BE'!$Z$23+'TE BF'!$Z$23+'TE CVA'!$Z$23)*(1 - CUSTOS!$M$38)</f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218.319134582907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</row>
    <row r="24" spans="1:34" ht="11.25" customHeight="1" x14ac:dyDescent="0.25">
      <c r="A24" s="114"/>
      <c r="B24" s="114" t="s">
        <v>59</v>
      </c>
      <c r="C24" s="114" t="s">
        <v>32</v>
      </c>
      <c r="D24" s="114" t="s">
        <v>79</v>
      </c>
      <c r="E24" s="114" t="s">
        <v>25</v>
      </c>
      <c r="F24" s="114" t="s">
        <v>25</v>
      </c>
      <c r="G24" s="29" t="s">
        <v>61</v>
      </c>
      <c r="H24" s="29" t="s">
        <v>60</v>
      </c>
      <c r="I24" s="29">
        <f>'MERCADO TE'!$U$21</f>
        <v>0</v>
      </c>
      <c r="J24" s="15"/>
      <c r="L24" s="26">
        <f>('TE BE'!$L$24+'TE BF'!$L$24+'TE CVA'!$L$24)*(1 - CUSTOS!$M$39)</f>
        <v>0</v>
      </c>
      <c r="M24" s="26">
        <f>('TE BE'!$M$24+'TE BF'!$M$24+'TE CVA'!$M$24)*(1 - CUSTOS!$M$39)</f>
        <v>0</v>
      </c>
      <c r="N24" s="26">
        <f>('TE BE'!$N$24+'TE BF'!$N$24+'TE CVA'!$N$24)*(1 - CUSTOS!$M$39)</f>
        <v>0</v>
      </c>
      <c r="O24" s="26">
        <f>('TE BE'!$O$24+'TE BF'!$O$24+'TE CVA'!$O$24)*(1 - CUSTOS!$M$39)</f>
        <v>0</v>
      </c>
      <c r="P24" s="26">
        <f>('TE BE'!$P$24+'TE BF'!$P$24+'TE CVA'!$P$24)*(1 - CUSTOS!$M$39)</f>
        <v>0</v>
      </c>
      <c r="Q24" s="26">
        <f>('TE BE'!$R$24+'TE BF'!$R$24+'TE CVA'!$R$24)*(1 - CUSTOS!$M$39)</f>
        <v>180.57465387824652</v>
      </c>
      <c r="R24" s="26">
        <f>('TE BE'!$T$24+'TE BF'!$T$24+'TE CVA'!$T$24)*(1 - CUSTOS!$M$39)</f>
        <v>0</v>
      </c>
      <c r="S24" s="26">
        <f>('TE BE'!$U$24+'TE BF'!$U$24+'TE CVA'!$U$24)*(1 - CUSTOS!$M$39)</f>
        <v>0</v>
      </c>
      <c r="T24" s="26">
        <f>('TE BE'!$V$24+'TE BF'!$V$24+'TE CVA'!$V$24)*(1 - CUSTOS!$M$39)</f>
        <v>0</v>
      </c>
      <c r="U24" s="26">
        <f>('TE BE'!$X$24+'TE BF'!$X$24+'TE CVA'!$X$24)*(1 - CUSTOS!$M$39)</f>
        <v>0</v>
      </c>
      <c r="V24" s="26">
        <f>('TE BE'!$Z$24+'TE BF'!$Z$24+'TE CVA'!$Z$24)*(1 - CUSTOS!$M$39)</f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218.319134582907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</row>
    <row r="25" spans="1:34" ht="11.25" customHeight="1" x14ac:dyDescent="0.25">
      <c r="A25" s="114"/>
      <c r="B25" s="114"/>
      <c r="C25" s="114"/>
      <c r="D25" s="114"/>
      <c r="E25" s="114"/>
      <c r="F25" s="114"/>
      <c r="G25" s="29" t="s">
        <v>74</v>
      </c>
      <c r="H25" s="29" t="s">
        <v>60</v>
      </c>
      <c r="I25" s="29">
        <f>'MERCADO TE'!$U$22</f>
        <v>0</v>
      </c>
      <c r="J25" s="15"/>
      <c r="L25" s="26">
        <f>('TE BE'!$L$25+'TE BF'!$L$25+'TE CVA'!$L$25)*(1 - CUSTOS!$M$39)</f>
        <v>0</v>
      </c>
      <c r="M25" s="26">
        <f>('TE BE'!$M$25+'TE BF'!$M$25+'TE CVA'!$M$25)*(1 - CUSTOS!$M$39)</f>
        <v>0</v>
      </c>
      <c r="N25" s="26">
        <f>('TE BE'!$N$25+'TE BF'!$N$25+'TE CVA'!$N$25)*(1 - CUSTOS!$M$39)</f>
        <v>0</v>
      </c>
      <c r="O25" s="26">
        <f>('TE BE'!$O$25+'TE BF'!$O$25+'TE CVA'!$O$25)*(1 - CUSTOS!$M$39)</f>
        <v>0</v>
      </c>
      <c r="P25" s="26">
        <f>('TE BE'!$P$25+'TE BF'!$P$25+'TE CVA'!$P$25)*(1 - CUSTOS!$M$39)</f>
        <v>0</v>
      </c>
      <c r="Q25" s="26">
        <f>('TE BE'!$R$25+'TE BF'!$R$25+'TE CVA'!$R$25)*(1 - CUSTOS!$M$39)</f>
        <v>180.57465387824652</v>
      </c>
      <c r="R25" s="26">
        <f>('TE BE'!$T$25+'TE BF'!$T$25+'TE CVA'!$T$25)*(1 - CUSTOS!$M$39)</f>
        <v>0</v>
      </c>
      <c r="S25" s="26">
        <f>('TE BE'!$U$25+'TE BF'!$U$25+'TE CVA'!$U$25)*(1 - CUSTOS!$M$39)</f>
        <v>0</v>
      </c>
      <c r="T25" s="26">
        <f>('TE BE'!$V$25+'TE BF'!$V$25+'TE CVA'!$V$25)*(1 - CUSTOS!$M$39)</f>
        <v>0</v>
      </c>
      <c r="U25" s="26">
        <f>('TE BE'!$X$25+'TE BF'!$X$25+'TE CVA'!$X$25)*(1 - CUSTOS!$M$39)</f>
        <v>0</v>
      </c>
      <c r="V25" s="26">
        <f>('TE BE'!$Z$25+'TE BF'!$Z$25+'TE CVA'!$Z$25)*(1 - CUSTOS!$M$39)</f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218.319134582907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</row>
    <row r="26" spans="1:34" ht="11.25" customHeight="1" x14ac:dyDescent="0.25">
      <c r="A26" s="114"/>
      <c r="B26" s="114"/>
      <c r="C26" s="114"/>
      <c r="D26" s="114"/>
      <c r="E26" s="114"/>
      <c r="F26" s="114"/>
      <c r="G26" s="29" t="s">
        <v>62</v>
      </c>
      <c r="H26" s="29" t="s">
        <v>60</v>
      </c>
      <c r="I26" s="29">
        <f>'MERCADO TE'!$U$23</f>
        <v>0</v>
      </c>
      <c r="J26" s="15"/>
      <c r="L26" s="26">
        <f>('TE BE'!$L$26+'TE BF'!$L$26+'TE CVA'!$L$26)*(1 - CUSTOS!$M$39)</f>
        <v>0</v>
      </c>
      <c r="M26" s="26">
        <f>('TE BE'!$M$26+'TE BF'!$M$26+'TE CVA'!$M$26)*(1 - CUSTOS!$M$39)</f>
        <v>0</v>
      </c>
      <c r="N26" s="26">
        <f>('TE BE'!$N$26+'TE BF'!$N$26+'TE CVA'!$N$26)*(1 - CUSTOS!$M$39)</f>
        <v>0</v>
      </c>
      <c r="O26" s="26">
        <f>('TE BE'!$O$26+'TE BF'!$O$26+'TE CVA'!$O$26)*(1 - CUSTOS!$M$39)</f>
        <v>0</v>
      </c>
      <c r="P26" s="26">
        <f>('TE BE'!$P$26+'TE BF'!$P$26+'TE CVA'!$P$26)*(1 - CUSTOS!$M$39)</f>
        <v>0</v>
      </c>
      <c r="Q26" s="26">
        <f>('TE BE'!$R$26+'TE BF'!$R$26+'TE CVA'!$R$26)*(1 - CUSTOS!$M$39)</f>
        <v>180.57465387824652</v>
      </c>
      <c r="R26" s="26">
        <f>('TE BE'!$T$26+'TE BF'!$T$26+'TE CVA'!$T$26)*(1 - CUSTOS!$M$39)</f>
        <v>0</v>
      </c>
      <c r="S26" s="26">
        <f>('TE BE'!$U$26+'TE BF'!$U$26+'TE CVA'!$U$26)*(1 - CUSTOS!$M$39)</f>
        <v>0</v>
      </c>
      <c r="T26" s="26">
        <f>('TE BE'!$V$26+'TE BF'!$V$26+'TE CVA'!$V$26)*(1 - CUSTOS!$M$39)</f>
        <v>0</v>
      </c>
      <c r="U26" s="26">
        <f>('TE BE'!$X$26+'TE BF'!$X$26+'TE CVA'!$X$26)*(1 - CUSTOS!$M$39)</f>
        <v>0</v>
      </c>
      <c r="V26" s="26">
        <f>('TE BE'!$Z$26+'TE BF'!$Z$26+'TE CVA'!$Z$26)*(1 - CUSTOS!$M$39)</f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218.319134582907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</row>
    <row r="27" spans="1:34" ht="11.25" customHeight="1" x14ac:dyDescent="0.25">
      <c r="A27" s="114"/>
      <c r="B27" s="28" t="s">
        <v>75</v>
      </c>
      <c r="C27" s="28" t="s">
        <v>32</v>
      </c>
      <c r="D27" s="28" t="s">
        <v>79</v>
      </c>
      <c r="E27" s="28" t="s">
        <v>25</v>
      </c>
      <c r="F27" s="28" t="s">
        <v>25</v>
      </c>
      <c r="G27" s="29" t="s">
        <v>67</v>
      </c>
      <c r="H27" s="29" t="s">
        <v>60</v>
      </c>
      <c r="I27" s="29">
        <f>'MERCADO TE'!$U$24</f>
        <v>0</v>
      </c>
      <c r="J27" s="15"/>
      <c r="L27" s="26">
        <f>('TE BE'!$L$27+'TE BF'!$L$27+'TE CVA'!$L$27)*(1 - CUSTOS!$M$39)</f>
        <v>0</v>
      </c>
      <c r="M27" s="26">
        <f>('TE BE'!$M$27+'TE BF'!$M$27+'TE CVA'!$M$27)*(1 - CUSTOS!$M$39)</f>
        <v>0</v>
      </c>
      <c r="N27" s="26">
        <f>('TE BE'!$N$27+'TE BF'!$N$27+'TE CVA'!$N$27)*(1 - CUSTOS!$M$39)</f>
        <v>0</v>
      </c>
      <c r="O27" s="26">
        <f>('TE BE'!$O$27+'TE BF'!$O$27+'TE CVA'!$O$27)*(1 - CUSTOS!$M$39)</f>
        <v>0</v>
      </c>
      <c r="P27" s="26">
        <f>('TE BE'!$P$27+'TE BF'!$P$27+'TE CVA'!$P$27)*(1 - CUSTOS!$M$39)</f>
        <v>0</v>
      </c>
      <c r="Q27" s="26">
        <f>('TE BE'!$R$27+'TE BF'!$R$27+'TE CVA'!$R$27)*(1 - CUSTOS!$M$39)</f>
        <v>180.57465387824652</v>
      </c>
      <c r="R27" s="26">
        <f>('TE BE'!$T$27+'TE BF'!$T$27+'TE CVA'!$T$27)*(1 - CUSTOS!$M$39)</f>
        <v>0</v>
      </c>
      <c r="S27" s="26">
        <f>('TE BE'!$U$27+'TE BF'!$U$27+'TE CVA'!$U$27)*(1 - CUSTOS!$M$39)</f>
        <v>0</v>
      </c>
      <c r="T27" s="26">
        <f>('TE BE'!$V$27+'TE BF'!$V$27+'TE CVA'!$V$27)*(1 - CUSTOS!$M$39)</f>
        <v>0</v>
      </c>
      <c r="U27" s="26">
        <f>('TE BE'!$X$27+'TE BF'!$X$27+'TE CVA'!$X$27)*(1 - CUSTOS!$M$39)</f>
        <v>0</v>
      </c>
      <c r="V27" s="26">
        <f>('TE BE'!$Z$27+'TE BF'!$Z$27+'TE CVA'!$Z$27)*(1 - CUSTOS!$M$39)</f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218.319134582907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</row>
    <row r="28" spans="1:34" ht="11.25" customHeight="1" x14ac:dyDescent="0.25">
      <c r="A28" s="114"/>
      <c r="B28" s="114" t="s">
        <v>59</v>
      </c>
      <c r="C28" s="114" t="s">
        <v>32</v>
      </c>
      <c r="D28" s="114" t="s">
        <v>80</v>
      </c>
      <c r="E28" s="114" t="s">
        <v>25</v>
      </c>
      <c r="F28" s="114" t="s">
        <v>25</v>
      </c>
      <c r="G28" s="29" t="s">
        <v>61</v>
      </c>
      <c r="H28" s="29" t="s">
        <v>60</v>
      </c>
      <c r="I28" s="29">
        <f>'MERCADO TE'!$U$25</f>
        <v>0</v>
      </c>
      <c r="J28" s="15"/>
      <c r="L28" s="26">
        <f>('TE BE'!$L$28+'TE BF'!$L$28+'TE CVA'!$L$28)*(1 - CUSTOS!$M$40)</f>
        <v>0</v>
      </c>
      <c r="M28" s="26">
        <f>('TE BE'!$M$28+'TE BF'!$M$28+'TE CVA'!$M$28)*(1 - CUSTOS!$M$40)</f>
        <v>0</v>
      </c>
      <c r="N28" s="26">
        <f>('TE BE'!$N$28+'TE BF'!$N$28+'TE CVA'!$N$28)*(1 - CUSTOS!$M$40)</f>
        <v>0</v>
      </c>
      <c r="O28" s="26">
        <f>('TE BE'!$O$28+'TE BF'!$O$28+'TE CVA'!$O$28)*(1 - CUSTOS!$M$40)</f>
        <v>0</v>
      </c>
      <c r="P28" s="26">
        <f>('TE BE'!$P$28+'TE BF'!$P$28+'TE CVA'!$P$28)*(1 - CUSTOS!$M$40)</f>
        <v>0</v>
      </c>
      <c r="Q28" s="26">
        <f>('TE BE'!$R$28+'TE BF'!$R$28+'TE CVA'!$R$28)*(1 - CUSTOS!$M$40)</f>
        <v>176.73263996594341</v>
      </c>
      <c r="R28" s="26">
        <f>('TE BE'!$T$28+'TE BF'!$T$28+'TE CVA'!$T$28)*(1 - CUSTOS!$M$40)</f>
        <v>0</v>
      </c>
      <c r="S28" s="26">
        <f>('TE BE'!$U$28+'TE BF'!$U$28+'TE CVA'!$U$28)*(1 - CUSTOS!$M$40)</f>
        <v>0</v>
      </c>
      <c r="T28" s="26">
        <f>('TE BE'!$V$28+'TE BF'!$V$28+'TE CVA'!$V$28)*(1 - CUSTOS!$M$40)</f>
        <v>0</v>
      </c>
      <c r="U28" s="26">
        <f>('TE BE'!$X$28+'TE BF'!$X$28+'TE CVA'!$X$28)*(1 - CUSTOS!$M$40)</f>
        <v>0</v>
      </c>
      <c r="V28" s="26">
        <f>('TE BE'!$Z$28+'TE BF'!$Z$28+'TE CVA'!$Z$28)*(1 - CUSTOS!$M$40)</f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208.39553755641199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</row>
    <row r="29" spans="1:34" ht="11.25" customHeight="1" x14ac:dyDescent="0.25">
      <c r="A29" s="114"/>
      <c r="B29" s="114"/>
      <c r="C29" s="114"/>
      <c r="D29" s="114"/>
      <c r="E29" s="114"/>
      <c r="F29" s="114"/>
      <c r="G29" s="29" t="s">
        <v>74</v>
      </c>
      <c r="H29" s="29" t="s">
        <v>60</v>
      </c>
      <c r="I29" s="29">
        <f>'MERCADO TE'!$U$26</f>
        <v>0</v>
      </c>
      <c r="J29" s="15"/>
      <c r="L29" s="26">
        <f>('TE BE'!$L$29+'TE BF'!$L$29+'TE CVA'!$L$29)*(1 - CUSTOS!$M$40)</f>
        <v>0</v>
      </c>
      <c r="M29" s="26">
        <f>('TE BE'!$M$29+'TE BF'!$M$29+'TE CVA'!$M$29)*(1 - CUSTOS!$M$40)</f>
        <v>0</v>
      </c>
      <c r="N29" s="26">
        <f>('TE BE'!$N$29+'TE BF'!$N$29+'TE CVA'!$N$29)*(1 - CUSTOS!$M$40)</f>
        <v>0</v>
      </c>
      <c r="O29" s="26">
        <f>('TE BE'!$O$29+'TE BF'!$O$29+'TE CVA'!$O$29)*(1 - CUSTOS!$M$40)</f>
        <v>0</v>
      </c>
      <c r="P29" s="26">
        <f>('TE BE'!$P$29+'TE BF'!$P$29+'TE CVA'!$P$29)*(1 - CUSTOS!$M$40)</f>
        <v>0</v>
      </c>
      <c r="Q29" s="26">
        <f>('TE BE'!$R$29+'TE BF'!$R$29+'TE CVA'!$R$29)*(1 - CUSTOS!$M$40)</f>
        <v>176.73263996594341</v>
      </c>
      <c r="R29" s="26">
        <f>('TE BE'!$T$29+'TE BF'!$T$29+'TE CVA'!$T$29)*(1 - CUSTOS!$M$40)</f>
        <v>0</v>
      </c>
      <c r="S29" s="26">
        <f>('TE BE'!$U$29+'TE BF'!$U$29+'TE CVA'!$U$29)*(1 - CUSTOS!$M$40)</f>
        <v>0</v>
      </c>
      <c r="T29" s="26">
        <f>('TE BE'!$V$29+'TE BF'!$V$29+'TE CVA'!$V$29)*(1 - CUSTOS!$M$40)</f>
        <v>0</v>
      </c>
      <c r="U29" s="26">
        <f>('TE BE'!$X$29+'TE BF'!$X$29+'TE CVA'!$X$29)*(1 - CUSTOS!$M$40)</f>
        <v>0</v>
      </c>
      <c r="V29" s="26">
        <f>('TE BE'!$Z$29+'TE BF'!$Z$29+'TE CVA'!$Z$29)*(1 - CUSTOS!$M$40)</f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208.39553755641199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</row>
    <row r="30" spans="1:34" ht="11.25" customHeight="1" x14ac:dyDescent="0.25">
      <c r="A30" s="114"/>
      <c r="B30" s="114"/>
      <c r="C30" s="114"/>
      <c r="D30" s="114"/>
      <c r="E30" s="114"/>
      <c r="F30" s="114"/>
      <c r="G30" s="29" t="s">
        <v>62</v>
      </c>
      <c r="H30" s="29" t="s">
        <v>60</v>
      </c>
      <c r="I30" s="29">
        <f>'MERCADO TE'!$U$27</f>
        <v>0</v>
      </c>
      <c r="J30" s="15"/>
      <c r="L30" s="26">
        <f>('TE BE'!$L$30+'TE BF'!$L$30+'TE CVA'!$L$30)*(1 - CUSTOS!$M$40)</f>
        <v>0</v>
      </c>
      <c r="M30" s="26">
        <f>('TE BE'!$M$30+'TE BF'!$M$30+'TE CVA'!$M$30)*(1 - CUSTOS!$M$40)</f>
        <v>0</v>
      </c>
      <c r="N30" s="26">
        <f>('TE BE'!$N$30+'TE BF'!$N$30+'TE CVA'!$N$30)*(1 - CUSTOS!$M$40)</f>
        <v>0</v>
      </c>
      <c r="O30" s="26">
        <f>('TE BE'!$O$30+'TE BF'!$O$30+'TE CVA'!$O$30)*(1 - CUSTOS!$M$40)</f>
        <v>0</v>
      </c>
      <c r="P30" s="26">
        <f>('TE BE'!$P$30+'TE BF'!$P$30+'TE CVA'!$P$30)*(1 - CUSTOS!$M$40)</f>
        <v>0</v>
      </c>
      <c r="Q30" s="26">
        <f>('TE BE'!$R$30+'TE BF'!$R$30+'TE CVA'!$R$30)*(1 - CUSTOS!$M$40)</f>
        <v>176.73263996594341</v>
      </c>
      <c r="R30" s="26">
        <f>('TE BE'!$T$30+'TE BF'!$T$30+'TE CVA'!$T$30)*(1 - CUSTOS!$M$40)</f>
        <v>0</v>
      </c>
      <c r="S30" s="26">
        <f>('TE BE'!$U$30+'TE BF'!$U$30+'TE CVA'!$U$30)*(1 - CUSTOS!$M$40)</f>
        <v>0</v>
      </c>
      <c r="T30" s="26">
        <f>('TE BE'!$V$30+'TE BF'!$V$30+'TE CVA'!$V$30)*(1 - CUSTOS!$M$40)</f>
        <v>0</v>
      </c>
      <c r="U30" s="26">
        <f>('TE BE'!$X$30+'TE BF'!$X$30+'TE CVA'!$X$30)*(1 - CUSTOS!$M$40)</f>
        <v>0</v>
      </c>
      <c r="V30" s="26">
        <f>('TE BE'!$Z$30+'TE BF'!$Z$30+'TE CVA'!$Z$30)*(1 - CUSTOS!$M$40)</f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208.39553755641199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</row>
    <row r="31" spans="1:34" ht="11.25" customHeight="1" x14ac:dyDescent="0.25">
      <c r="A31" s="114"/>
      <c r="B31" s="28" t="s">
        <v>75</v>
      </c>
      <c r="C31" s="28" t="s">
        <v>32</v>
      </c>
      <c r="D31" s="28" t="s">
        <v>80</v>
      </c>
      <c r="E31" s="28" t="s">
        <v>25</v>
      </c>
      <c r="F31" s="28" t="s">
        <v>25</v>
      </c>
      <c r="G31" s="29" t="s">
        <v>67</v>
      </c>
      <c r="H31" s="29" t="s">
        <v>60</v>
      </c>
      <c r="I31" s="29">
        <f>'MERCADO TE'!$U$28</f>
        <v>0</v>
      </c>
      <c r="J31" s="15"/>
      <c r="L31" s="26">
        <f>('TE BE'!$L$31+'TE BF'!$L$31+'TE CVA'!$L$31)*(1 - CUSTOS!$M$40)</f>
        <v>0</v>
      </c>
      <c r="M31" s="26">
        <f>('TE BE'!$M$31+'TE BF'!$M$31+'TE CVA'!$M$31)*(1 - CUSTOS!$M$40)</f>
        <v>0</v>
      </c>
      <c r="N31" s="26">
        <f>('TE BE'!$N$31+'TE BF'!$N$31+'TE CVA'!$N$31)*(1 - CUSTOS!$M$40)</f>
        <v>0</v>
      </c>
      <c r="O31" s="26">
        <f>('TE BE'!$O$31+'TE BF'!$O$31+'TE CVA'!$O$31)*(1 - CUSTOS!$M$40)</f>
        <v>0</v>
      </c>
      <c r="P31" s="26">
        <f>('TE BE'!$P$31+'TE BF'!$P$31+'TE CVA'!$P$31)*(1 - CUSTOS!$M$40)</f>
        <v>0</v>
      </c>
      <c r="Q31" s="26">
        <f>('TE BE'!$R$31+'TE BF'!$R$31+'TE CVA'!$R$31)*(1 - CUSTOS!$M$40)</f>
        <v>176.73263996594341</v>
      </c>
      <c r="R31" s="26">
        <f>('TE BE'!$T$31+'TE BF'!$T$31+'TE CVA'!$T$31)*(1 - CUSTOS!$M$40)</f>
        <v>0</v>
      </c>
      <c r="S31" s="26">
        <f>('TE BE'!$U$31+'TE BF'!$U$31+'TE CVA'!$U$31)*(1 - CUSTOS!$M$40)</f>
        <v>0</v>
      </c>
      <c r="T31" s="26">
        <f>('TE BE'!$V$31+'TE BF'!$V$31+'TE CVA'!$V$31)*(1 - CUSTOS!$M$40)</f>
        <v>0</v>
      </c>
      <c r="U31" s="26">
        <f>('TE BE'!$X$31+'TE BF'!$X$31+'TE CVA'!$X$31)*(1 - CUSTOS!$M$40)</f>
        <v>0</v>
      </c>
      <c r="V31" s="26">
        <f>('TE BE'!$Z$31+'TE BF'!$Z$31+'TE CVA'!$Z$31)*(1 - CUSTOS!$M$40)</f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208.39553755641199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</row>
    <row r="32" spans="1:34" ht="11.25" customHeight="1" x14ac:dyDescent="0.25">
      <c r="A32" s="114"/>
      <c r="B32" s="114" t="s">
        <v>77</v>
      </c>
      <c r="C32" s="114" t="s">
        <v>32</v>
      </c>
      <c r="D32" s="28" t="s">
        <v>25</v>
      </c>
      <c r="E32" s="28" t="s">
        <v>25</v>
      </c>
      <c r="F32" s="28" t="s">
        <v>25</v>
      </c>
      <c r="G32" s="29" t="s">
        <v>67</v>
      </c>
      <c r="H32" s="29" t="s">
        <v>60</v>
      </c>
      <c r="I32" s="29">
        <f>'MERCADO TE'!$U$29</f>
        <v>0</v>
      </c>
      <c r="J32" s="15"/>
      <c r="L32" s="26">
        <f>('TE BE'!$L$32+'TE BF'!$L$32+'TE CVA'!$L$32)*(1 - CUSTOS!$M$38)</f>
        <v>0</v>
      </c>
      <c r="M32" s="26">
        <f>('TE BE'!$M$32+'TE BF'!$M$32+'TE CVA'!$M$32)*(1 - CUSTOS!$M$38)</f>
        <v>0</v>
      </c>
      <c r="N32" s="26">
        <f>('TE BE'!$N$32+'TE BF'!$N$32+'TE CVA'!$N$32)*(1 - CUSTOS!$M$38)</f>
        <v>0</v>
      </c>
      <c r="O32" s="26">
        <f>('TE BE'!$O$32+'TE BF'!$O$32+'TE CVA'!$O$32)*(1 - CUSTOS!$M$38)</f>
        <v>0</v>
      </c>
      <c r="P32" s="26">
        <f>('TE BE'!$P$32+'TE BF'!$P$32+'TE CVA'!$P$32)*(1 - CUSTOS!$M$38)</f>
        <v>0</v>
      </c>
      <c r="Q32" s="26">
        <f>('TE BE'!$R$32+'TE BF'!$R$32+'TE CVA'!$R$32)*(1 - CUSTOS!$M$38)</f>
        <v>180.57465387824652</v>
      </c>
      <c r="R32" s="26">
        <f>('TE BE'!$T$32+'TE BF'!$T$32+'TE CVA'!$T$32)*(1 - CUSTOS!$M$38)</f>
        <v>0</v>
      </c>
      <c r="S32" s="26">
        <f>('TE BE'!$U$32+'TE BF'!$U$32+'TE CVA'!$U$32)*(1 - CUSTOS!$M$38)</f>
        <v>0</v>
      </c>
      <c r="T32" s="26">
        <f>('TE BE'!$V$32+'TE BF'!$V$32+'TE CVA'!$V$32)*(1 - CUSTOS!$M$38)</f>
        <v>0</v>
      </c>
      <c r="U32" s="26">
        <f>('TE BE'!$X$32+'TE BF'!$X$32+'TE CVA'!$X$32)*(1 - CUSTOS!$M$38)</f>
        <v>0</v>
      </c>
      <c r="V32" s="26">
        <f>('TE BE'!$Z$32+'TE BF'!$Z$32+'TE CVA'!$Z$32)*(1 - CUSTOS!$M$38)</f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218.319134582907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</row>
    <row r="33" spans="1:34" ht="11.25" customHeight="1" x14ac:dyDescent="0.25">
      <c r="A33" s="114"/>
      <c r="B33" s="114"/>
      <c r="C33" s="114"/>
      <c r="D33" s="28" t="s">
        <v>79</v>
      </c>
      <c r="E33" s="28" t="s">
        <v>25</v>
      </c>
      <c r="F33" s="28" t="s">
        <v>25</v>
      </c>
      <c r="G33" s="29" t="s">
        <v>67</v>
      </c>
      <c r="H33" s="29" t="s">
        <v>60</v>
      </c>
      <c r="I33" s="29">
        <f>'MERCADO TE'!$U$30</f>
        <v>0</v>
      </c>
      <c r="J33" s="15"/>
      <c r="L33" s="26">
        <f>('TE BE'!$L$33+'TE BF'!$L$33+'TE CVA'!$L$33)*(1 - CUSTOS!$M$39)</f>
        <v>0</v>
      </c>
      <c r="M33" s="26">
        <f>('TE BE'!$M$33+'TE BF'!$M$33+'TE CVA'!$M$33)*(1 - CUSTOS!$M$39)</f>
        <v>0</v>
      </c>
      <c r="N33" s="26">
        <f>('TE BE'!$N$33+'TE BF'!$N$33+'TE CVA'!$N$33)*(1 - CUSTOS!$M$39)</f>
        <v>0</v>
      </c>
      <c r="O33" s="26">
        <f>('TE BE'!$O$33+'TE BF'!$O$33+'TE CVA'!$O$33)*(1 - CUSTOS!$M$39)</f>
        <v>0</v>
      </c>
      <c r="P33" s="26">
        <f>('TE BE'!$P$33+'TE BF'!$P$33+'TE CVA'!$P$33)*(1 - CUSTOS!$M$39)</f>
        <v>0</v>
      </c>
      <c r="Q33" s="26">
        <f>('TE BE'!$R$33+'TE BF'!$R$33+'TE CVA'!$R$33)*(1 - CUSTOS!$M$39)</f>
        <v>180.57465387824652</v>
      </c>
      <c r="R33" s="26">
        <f>('TE BE'!$T$33+'TE BF'!$T$33+'TE CVA'!$T$33)*(1 - CUSTOS!$M$39)</f>
        <v>0</v>
      </c>
      <c r="S33" s="26">
        <f>('TE BE'!$U$33+'TE BF'!$U$33+'TE CVA'!$U$33)*(1 - CUSTOS!$M$39)</f>
        <v>0</v>
      </c>
      <c r="T33" s="26">
        <f>('TE BE'!$V$33+'TE BF'!$V$33+'TE CVA'!$V$33)*(1 - CUSTOS!$M$39)</f>
        <v>0</v>
      </c>
      <c r="U33" s="26">
        <f>('TE BE'!$X$33+'TE BF'!$X$33+'TE CVA'!$X$33)*(1 - CUSTOS!$M$39)</f>
        <v>0</v>
      </c>
      <c r="V33" s="26">
        <f>('TE BE'!$Z$33+'TE BF'!$Z$33+'TE CVA'!$Z$33)*(1 - CUSTOS!$M$39)</f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218.319134582907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</row>
    <row r="34" spans="1:34" ht="11.25" customHeight="1" x14ac:dyDescent="0.25">
      <c r="A34" s="114"/>
      <c r="B34" s="114"/>
      <c r="C34" s="114"/>
      <c r="D34" s="28" t="s">
        <v>80</v>
      </c>
      <c r="E34" s="28" t="s">
        <v>25</v>
      </c>
      <c r="F34" s="28" t="s">
        <v>25</v>
      </c>
      <c r="G34" s="29" t="s">
        <v>67</v>
      </c>
      <c r="H34" s="29" t="s">
        <v>60</v>
      </c>
      <c r="I34" s="29">
        <f>'MERCADO TE'!$U$31</f>
        <v>0</v>
      </c>
      <c r="J34" s="15"/>
      <c r="L34" s="26">
        <f>('TE BE'!$L$34+'TE BF'!$L$34+'TE CVA'!$L$34)*(1 - CUSTOS!$M$40)</f>
        <v>0</v>
      </c>
      <c r="M34" s="26">
        <f>('TE BE'!$M$34+'TE BF'!$M$34+'TE CVA'!$M$34)*(1 - CUSTOS!$M$40)</f>
        <v>0</v>
      </c>
      <c r="N34" s="26">
        <f>('TE BE'!$N$34+'TE BF'!$N$34+'TE CVA'!$N$34)*(1 - CUSTOS!$M$40)</f>
        <v>0</v>
      </c>
      <c r="O34" s="26">
        <f>('TE BE'!$O$34+'TE BF'!$O$34+'TE CVA'!$O$34)*(1 - CUSTOS!$M$40)</f>
        <v>0</v>
      </c>
      <c r="P34" s="26">
        <f>('TE BE'!$P$34+'TE BF'!$P$34+'TE CVA'!$P$34)*(1 - CUSTOS!$M$40)</f>
        <v>0</v>
      </c>
      <c r="Q34" s="26">
        <f>('TE BE'!$R$34+'TE BF'!$R$34+'TE CVA'!$R$34)*(1 - CUSTOS!$M$40)</f>
        <v>176.73263996594341</v>
      </c>
      <c r="R34" s="26">
        <f>('TE BE'!$T$34+'TE BF'!$T$34+'TE CVA'!$T$34)*(1 - CUSTOS!$M$40)</f>
        <v>0</v>
      </c>
      <c r="S34" s="26">
        <f>('TE BE'!$U$34+'TE BF'!$U$34+'TE CVA'!$U$34)*(1 - CUSTOS!$M$40)</f>
        <v>0</v>
      </c>
      <c r="T34" s="26">
        <f>('TE BE'!$V$34+'TE BF'!$V$34+'TE CVA'!$V$34)*(1 - CUSTOS!$M$40)</f>
        <v>0</v>
      </c>
      <c r="U34" s="26">
        <f>('TE BE'!$X$34+'TE BF'!$X$34+'TE CVA'!$X$34)*(1 - CUSTOS!$M$40)</f>
        <v>0</v>
      </c>
      <c r="V34" s="26">
        <f>('TE BE'!$Z$34+'TE BF'!$Z$34+'TE CVA'!$Z$34)*(1 - CUSTOS!$M$40)</f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208.39553755641199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</row>
    <row r="35" spans="1:34" ht="11.25" customHeight="1" x14ac:dyDescent="0.25">
      <c r="A35" s="114" t="s">
        <v>28</v>
      </c>
      <c r="B35" s="114" t="s">
        <v>59</v>
      </c>
      <c r="C35" s="114" t="s">
        <v>25</v>
      </c>
      <c r="D35" s="114" t="s">
        <v>25</v>
      </c>
      <c r="E35" s="114" t="s">
        <v>25</v>
      </c>
      <c r="F35" s="114" t="s">
        <v>25</v>
      </c>
      <c r="G35" s="29" t="s">
        <v>61</v>
      </c>
      <c r="H35" s="29" t="s">
        <v>60</v>
      </c>
      <c r="I35" s="29">
        <f>'MERCADO TE'!$U$32</f>
        <v>0</v>
      </c>
      <c r="J35" s="15"/>
      <c r="L35" s="26">
        <f>('TE BE'!$L$35+'TE BF'!$L$35+'TE CVA'!$L$35)*1</f>
        <v>0</v>
      </c>
      <c r="M35" s="26">
        <f>('TE BE'!$M$35+'TE BF'!$M$35+'TE CVA'!$M$35)*1</f>
        <v>0</v>
      </c>
      <c r="N35" s="26">
        <f>('TE BE'!$N$35+'TE BF'!$N$35+'TE CVA'!$N$35)*1</f>
        <v>0</v>
      </c>
      <c r="O35" s="26">
        <f>('TE BE'!$O$35+'TE BF'!$O$35+'TE CVA'!$O$35)*1</f>
        <v>0</v>
      </c>
      <c r="P35" s="26">
        <f>('TE BE'!$P$35+'TE BF'!$P$35+'TE CVA'!$P$35)*1</f>
        <v>0</v>
      </c>
      <c r="Q35" s="26">
        <f>('TE BE'!$R$35+'TE BF'!$R$35+'TE CVA'!$R$35)*1</f>
        <v>192.10069561515587</v>
      </c>
      <c r="R35" s="26">
        <f>('TE BE'!$T$35+'TE BF'!$T$35+'TE CVA'!$T$35)*1</f>
        <v>0</v>
      </c>
      <c r="S35" s="26">
        <f>('TE BE'!$U$35+'TE BF'!$U$35+'TE CVA'!$U$35)*1</f>
        <v>0</v>
      </c>
      <c r="T35" s="26">
        <f>('TE BE'!$V$35+'TE BF'!$V$35+'TE CVA'!$V$35)*1</f>
        <v>0</v>
      </c>
      <c r="U35" s="26">
        <f>('TE BE'!$X$35+'TE BF'!$X$35+'TE CVA'!$X$35)*1</f>
        <v>0</v>
      </c>
      <c r="V35" s="26">
        <f>('TE BE'!$Z$35+'TE BF'!$Z$35+'TE CVA'!$Z$35)*1</f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248.08992566239499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</row>
    <row r="36" spans="1:34" ht="11.25" customHeight="1" x14ac:dyDescent="0.25">
      <c r="A36" s="114"/>
      <c r="B36" s="114"/>
      <c r="C36" s="114"/>
      <c r="D36" s="114"/>
      <c r="E36" s="114"/>
      <c r="F36" s="114"/>
      <c r="G36" s="29" t="s">
        <v>74</v>
      </c>
      <c r="H36" s="29" t="s">
        <v>60</v>
      </c>
      <c r="I36" s="29">
        <f>'MERCADO TE'!$U$33</f>
        <v>0</v>
      </c>
      <c r="J36" s="15"/>
      <c r="L36" s="26">
        <f>('TE BE'!$L$36+'TE BF'!$L$36+'TE CVA'!$L$36)*1</f>
        <v>0</v>
      </c>
      <c r="M36" s="26">
        <f>('TE BE'!$M$36+'TE BF'!$M$36+'TE CVA'!$M$36)*1</f>
        <v>0</v>
      </c>
      <c r="N36" s="26">
        <f>('TE BE'!$N$36+'TE BF'!$N$36+'TE CVA'!$N$36)*1</f>
        <v>0</v>
      </c>
      <c r="O36" s="26">
        <f>('TE BE'!$O$36+'TE BF'!$O$36+'TE CVA'!$O$36)*1</f>
        <v>0</v>
      </c>
      <c r="P36" s="26">
        <f>('TE BE'!$P$36+'TE BF'!$P$36+'TE CVA'!$P$36)*1</f>
        <v>0</v>
      </c>
      <c r="Q36" s="26">
        <f>('TE BE'!$R$36+'TE BF'!$R$36+'TE CVA'!$R$36)*1</f>
        <v>192.10069561515587</v>
      </c>
      <c r="R36" s="26">
        <f>('TE BE'!$T$36+'TE BF'!$T$36+'TE CVA'!$T$36)*1</f>
        <v>0</v>
      </c>
      <c r="S36" s="26">
        <f>('TE BE'!$U$36+'TE BF'!$U$36+'TE CVA'!$U$36)*1</f>
        <v>0</v>
      </c>
      <c r="T36" s="26">
        <f>('TE BE'!$V$36+'TE BF'!$V$36+'TE CVA'!$V$36)*1</f>
        <v>0</v>
      </c>
      <c r="U36" s="26">
        <f>('TE BE'!$X$36+'TE BF'!$X$36+'TE CVA'!$X$36)*1</f>
        <v>0</v>
      </c>
      <c r="V36" s="26">
        <f>('TE BE'!$Z$36+'TE BF'!$Z$36+'TE CVA'!$Z$36)*1</f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248.08992566239499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</row>
    <row r="37" spans="1:34" ht="11.25" customHeight="1" x14ac:dyDescent="0.25">
      <c r="A37" s="114"/>
      <c r="B37" s="114"/>
      <c r="C37" s="114"/>
      <c r="D37" s="114"/>
      <c r="E37" s="114"/>
      <c r="F37" s="114"/>
      <c r="G37" s="29" t="s">
        <v>62</v>
      </c>
      <c r="H37" s="29" t="s">
        <v>60</v>
      </c>
      <c r="I37" s="29">
        <f>'MERCADO TE'!$U$34</f>
        <v>0</v>
      </c>
      <c r="J37" s="15"/>
      <c r="L37" s="26">
        <f>('TE BE'!$L$37+'TE BF'!$L$37+'TE CVA'!$L$37)*1</f>
        <v>0</v>
      </c>
      <c r="M37" s="26">
        <f>('TE BE'!$M$37+'TE BF'!$M$37+'TE CVA'!$M$37)*1</f>
        <v>0</v>
      </c>
      <c r="N37" s="26">
        <f>('TE BE'!$N$37+'TE BF'!$N$37+'TE CVA'!$N$37)*1</f>
        <v>0</v>
      </c>
      <c r="O37" s="26">
        <f>('TE BE'!$O$37+'TE BF'!$O$37+'TE CVA'!$O$37)*1</f>
        <v>0</v>
      </c>
      <c r="P37" s="26">
        <f>('TE BE'!$P$37+'TE BF'!$P$37+'TE CVA'!$P$37)*1</f>
        <v>0</v>
      </c>
      <c r="Q37" s="26">
        <f>('TE BE'!$R$37+'TE BF'!$R$37+'TE CVA'!$R$37)*1</f>
        <v>192.10069561515587</v>
      </c>
      <c r="R37" s="26">
        <f>('TE BE'!$T$37+'TE BF'!$T$37+'TE CVA'!$T$37)*1</f>
        <v>0</v>
      </c>
      <c r="S37" s="26">
        <f>('TE BE'!$U$37+'TE BF'!$U$37+'TE CVA'!$U$37)*1</f>
        <v>0</v>
      </c>
      <c r="T37" s="26">
        <f>('TE BE'!$V$37+'TE BF'!$V$37+'TE CVA'!$V$37)*1</f>
        <v>0</v>
      </c>
      <c r="U37" s="26">
        <f>('TE BE'!$X$37+'TE BF'!$X$37+'TE CVA'!$X$37)*1</f>
        <v>0</v>
      </c>
      <c r="V37" s="26">
        <f>('TE BE'!$Z$37+'TE BF'!$Z$37+'TE CVA'!$Z$37)*1</f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248.08992566239499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</row>
    <row r="38" spans="1:34" ht="11.25" customHeight="1" x14ac:dyDescent="0.25">
      <c r="A38" s="114"/>
      <c r="B38" s="28" t="s">
        <v>75</v>
      </c>
      <c r="C38" s="28" t="s">
        <v>25</v>
      </c>
      <c r="D38" s="28" t="s">
        <v>25</v>
      </c>
      <c r="E38" s="28" t="s">
        <v>25</v>
      </c>
      <c r="F38" s="28" t="s">
        <v>25</v>
      </c>
      <c r="G38" s="29" t="s">
        <v>67</v>
      </c>
      <c r="H38" s="29" t="s">
        <v>60</v>
      </c>
      <c r="I38" s="29">
        <f>'MERCADO TE'!$U$35</f>
        <v>3301.431</v>
      </c>
      <c r="J38" s="15"/>
      <c r="L38" s="26">
        <f>('TE BE'!$L$38+'TE BF'!$L$38+'TE CVA'!$L$38)*1</f>
        <v>0</v>
      </c>
      <c r="M38" s="26">
        <f>('TE BE'!$M$38+'TE BF'!$M$38+'TE CVA'!$M$38)*1</f>
        <v>0</v>
      </c>
      <c r="N38" s="26">
        <f>('TE BE'!$N$38+'TE BF'!$N$38+'TE CVA'!$N$38)*1</f>
        <v>0</v>
      </c>
      <c r="O38" s="26">
        <f>('TE BE'!$O$38+'TE BF'!$O$38+'TE CVA'!$O$38)*1</f>
        <v>0</v>
      </c>
      <c r="P38" s="26">
        <f>('TE BE'!$P$38+'TE BF'!$P$38+'TE CVA'!$P$38)*1</f>
        <v>0</v>
      </c>
      <c r="Q38" s="26">
        <f>('TE BE'!$R$38+'TE BF'!$R$38+'TE CVA'!$R$38)*1</f>
        <v>192.10069561515587</v>
      </c>
      <c r="R38" s="26">
        <f>('TE BE'!$T$38+'TE BF'!$T$38+'TE CVA'!$T$38)*1</f>
        <v>0</v>
      </c>
      <c r="S38" s="26">
        <f>('TE BE'!$U$38+'TE BF'!$U$38+'TE CVA'!$U$38)*1</f>
        <v>0</v>
      </c>
      <c r="T38" s="26">
        <f>('TE BE'!$V$38+'TE BF'!$V$38+'TE CVA'!$V$38)*1</f>
        <v>0</v>
      </c>
      <c r="U38" s="26">
        <f>('TE BE'!$X$38+'TE BF'!$X$38+'TE CVA'!$X$38)*1</f>
        <v>0</v>
      </c>
      <c r="V38" s="26">
        <f>('TE BE'!$Z$38+'TE BF'!$Z$38+'TE CVA'!$Z$38)*1</f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248.08992566239499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</row>
    <row r="39" spans="1:34" ht="11.25" customHeight="1" x14ac:dyDescent="0.25">
      <c r="A39" s="114"/>
      <c r="B39" s="28" t="s">
        <v>77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67</v>
      </c>
      <c r="H39" s="29" t="s">
        <v>60</v>
      </c>
      <c r="I39" s="29">
        <f>'MERCADO TE'!$U$36</f>
        <v>0</v>
      </c>
      <c r="J39" s="15"/>
      <c r="L39" s="26">
        <f>('TE BE'!$L$39+'TE BF'!$L$39+'TE CVA'!$L$39)*1</f>
        <v>0</v>
      </c>
      <c r="M39" s="26">
        <f>('TE BE'!$M$39+'TE BF'!$M$39+'TE CVA'!$M$39)*1</f>
        <v>0</v>
      </c>
      <c r="N39" s="26">
        <f>('TE BE'!$N$39+'TE BF'!$N$39+'TE CVA'!$N$39)*1</f>
        <v>0</v>
      </c>
      <c r="O39" s="26">
        <f>('TE BE'!$O$39+'TE BF'!$O$39+'TE CVA'!$O$39)*1</f>
        <v>0</v>
      </c>
      <c r="P39" s="26">
        <f>('TE BE'!$P$39+'TE BF'!$P$39+'TE CVA'!$P$39)*1</f>
        <v>0</v>
      </c>
      <c r="Q39" s="26">
        <f>('TE BE'!$R$39+'TE BF'!$R$39+'TE CVA'!$R$39)*1</f>
        <v>192.10069561515587</v>
      </c>
      <c r="R39" s="26">
        <f>('TE BE'!$T$39+'TE BF'!$T$39+'TE CVA'!$T$39)*1</f>
        <v>0</v>
      </c>
      <c r="S39" s="26">
        <f>('TE BE'!$U$39+'TE BF'!$U$39+'TE CVA'!$U$39)*1</f>
        <v>0</v>
      </c>
      <c r="T39" s="26">
        <f>('TE BE'!$V$39+'TE BF'!$V$39+'TE CVA'!$V$39)*1</f>
        <v>0</v>
      </c>
      <c r="U39" s="26">
        <f>('TE BE'!$X$39+'TE BF'!$X$39+'TE CVA'!$X$39)*1</f>
        <v>0</v>
      </c>
      <c r="V39" s="26">
        <f>('TE BE'!$Z$39+'TE BF'!$Z$39+'TE CVA'!$Z$39)*1</f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248.08992566239499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</row>
    <row r="40" spans="1:34" ht="11.25" customHeight="1" x14ac:dyDescent="0.25">
      <c r="A40" s="114" t="s">
        <v>34</v>
      </c>
      <c r="B40" s="114" t="s">
        <v>75</v>
      </c>
      <c r="C40" s="114" t="s">
        <v>35</v>
      </c>
      <c r="D40" s="28" t="s">
        <v>36</v>
      </c>
      <c r="E40" s="28" t="s">
        <v>25</v>
      </c>
      <c r="F40" s="28" t="s">
        <v>25</v>
      </c>
      <c r="G40" s="29" t="s">
        <v>67</v>
      </c>
      <c r="H40" s="29" t="s">
        <v>60</v>
      </c>
      <c r="I40" s="29">
        <f>'MERCADO TE'!$U$37</f>
        <v>274.32500000000005</v>
      </c>
      <c r="J40" s="15"/>
      <c r="L40" s="26">
        <f>('TE BE'!$L$40+'TE BF'!$L$40+'TE CVA'!$L$40)*1</f>
        <v>0</v>
      </c>
      <c r="M40" s="26">
        <f>('TE BE'!$M$40+'TE BF'!$M$40+'TE CVA'!$M$40)*1</f>
        <v>0</v>
      </c>
      <c r="N40" s="26">
        <f>('TE BE'!$N$40+'TE BF'!$N$40+'TE CVA'!$N$40)*1</f>
        <v>0</v>
      </c>
      <c r="O40" s="26">
        <f>('TE BE'!$O$40+'TE BF'!$O$40+'TE CVA'!$O$40)*1</f>
        <v>0</v>
      </c>
      <c r="P40" s="26">
        <f>('TE BE'!$P$40+'TE BF'!$P$40+'TE CVA'!$P$40)*1</f>
        <v>0</v>
      </c>
      <c r="Q40" s="26">
        <f>('TE BE'!$R$40+'TE BF'!$R$40+'TE CVA'!$R$40)*1</f>
        <v>105.65538258833574</v>
      </c>
      <c r="R40" s="26">
        <f>('TE BE'!$T$40+'TE BF'!$T$40+'TE CVA'!$T$40)*1</f>
        <v>0</v>
      </c>
      <c r="S40" s="26">
        <f>('TE BE'!$U$40+'TE BF'!$U$40+'TE CVA'!$U$40)*1</f>
        <v>0</v>
      </c>
      <c r="T40" s="26">
        <f>('TE BE'!$V$40+'TE BF'!$V$40+'TE CVA'!$V$40)*1</f>
        <v>0</v>
      </c>
      <c r="U40" s="26">
        <f>('TE BE'!$X$40+'TE BF'!$X$40+'TE CVA'!$X$40)*1</f>
        <v>0</v>
      </c>
      <c r="V40" s="26">
        <f>('TE BE'!$Z$40+'TE BF'!$Z$40+'TE CVA'!$Z$40)*1</f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136.44945911431699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</row>
    <row r="41" spans="1:34" ht="11.25" customHeight="1" x14ac:dyDescent="0.25">
      <c r="A41" s="114"/>
      <c r="B41" s="114"/>
      <c r="C41" s="114"/>
      <c r="D41" s="29" t="s">
        <v>81</v>
      </c>
      <c r="E41" s="29" t="s">
        <v>25</v>
      </c>
      <c r="F41" s="29" t="s">
        <v>25</v>
      </c>
      <c r="G41" s="29" t="s">
        <v>67</v>
      </c>
      <c r="H41" s="29" t="s">
        <v>60</v>
      </c>
      <c r="I41" s="29">
        <f>'MERCADO TE'!$U$38</f>
        <v>0</v>
      </c>
      <c r="J41" s="15"/>
      <c r="L41" s="26">
        <f>('TE BE'!$L$41+'TE BF'!$L$41+'TE CVA'!$L$41)*1</f>
        <v>0</v>
      </c>
      <c r="M41" s="26">
        <f>('TE BE'!$M$41+'TE BF'!$M$41+'TE CVA'!$M$41)*1</f>
        <v>0</v>
      </c>
      <c r="N41" s="26">
        <f>('TE BE'!$N$41+'TE BF'!$N$41+'TE CVA'!$N$41)*1</f>
        <v>0</v>
      </c>
      <c r="O41" s="26">
        <f>('TE BE'!$O$41+'TE BF'!$O$41+'TE CVA'!$O$41)*1</f>
        <v>0</v>
      </c>
      <c r="P41" s="26">
        <f>('TE BE'!$P$41+'TE BF'!$P$41+'TE CVA'!$P$41)*1</f>
        <v>0</v>
      </c>
      <c r="Q41" s="26">
        <f>('TE BE'!$R$41+'TE BF'!$R$41+'TE CVA'!$R$41)*1</f>
        <v>115.26041736909353</v>
      </c>
      <c r="R41" s="26">
        <f>('TE BE'!$T$41+'TE BF'!$T$41+'TE CVA'!$T$41)*1</f>
        <v>0</v>
      </c>
      <c r="S41" s="26">
        <f>('TE BE'!$U$41+'TE BF'!$U$41+'TE CVA'!$U$41)*1</f>
        <v>0</v>
      </c>
      <c r="T41" s="26">
        <f>('TE BE'!$V$41+'TE BF'!$V$41+'TE CVA'!$V$41)*1</f>
        <v>0</v>
      </c>
      <c r="U41" s="26">
        <f>('TE BE'!$X$41+'TE BF'!$X$41+'TE CVA'!$X$41)*1</f>
        <v>0</v>
      </c>
      <c r="V41" s="26">
        <f>('TE BE'!$Z$41+'TE BF'!$Z$41+'TE CVA'!$Z$41)*1</f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148.85395539743701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</row>
    <row r="43" spans="1:34" ht="11.25" customHeight="1" x14ac:dyDescent="0.25">
      <c r="L43" s="111" t="s">
        <v>739</v>
      </c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X43" s="111" t="s">
        <v>740</v>
      </c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</row>
    <row r="44" spans="1:34" ht="11.25" customHeight="1" x14ac:dyDescent="0.25">
      <c r="L44" s="111" t="s">
        <v>291</v>
      </c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X44" s="111" t="s">
        <v>291</v>
      </c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</row>
    <row r="45" spans="1:34" ht="11.25" customHeight="1" x14ac:dyDescent="0.25">
      <c r="L45" s="111" t="s">
        <v>264</v>
      </c>
      <c r="M45" s="111"/>
      <c r="N45" s="111"/>
      <c r="O45" s="111"/>
      <c r="P45" s="111"/>
      <c r="Q45" s="30" t="s">
        <v>295</v>
      </c>
      <c r="R45" s="111" t="s">
        <v>273</v>
      </c>
      <c r="S45" s="111"/>
      <c r="T45" s="111"/>
      <c r="U45" s="30" t="s">
        <v>283</v>
      </c>
      <c r="V45" s="30" t="s">
        <v>286</v>
      </c>
      <c r="X45" s="111" t="s">
        <v>264</v>
      </c>
      <c r="Y45" s="111"/>
      <c r="Z45" s="111"/>
      <c r="AA45" s="111"/>
      <c r="AB45" s="111"/>
      <c r="AC45" s="30" t="s">
        <v>295</v>
      </c>
      <c r="AD45" s="111" t="s">
        <v>273</v>
      </c>
      <c r="AE45" s="111"/>
      <c r="AF45" s="111"/>
      <c r="AG45" s="30" t="s">
        <v>283</v>
      </c>
      <c r="AH45" s="30" t="s">
        <v>286</v>
      </c>
    </row>
    <row r="46" spans="1:34" ht="11.25" customHeight="1" x14ac:dyDescent="0.25">
      <c r="L46" s="30" t="s">
        <v>266</v>
      </c>
      <c r="M46" s="30" t="s">
        <v>292</v>
      </c>
      <c r="N46" s="30" t="s">
        <v>293</v>
      </c>
      <c r="O46" s="30" t="s">
        <v>353</v>
      </c>
      <c r="P46" s="30" t="s">
        <v>294</v>
      </c>
      <c r="Q46" s="30" t="s">
        <v>296</v>
      </c>
      <c r="R46" s="30" t="s">
        <v>297</v>
      </c>
      <c r="S46" s="30" t="s">
        <v>298</v>
      </c>
      <c r="T46" s="30" t="s">
        <v>299</v>
      </c>
      <c r="U46" s="30" t="s">
        <v>284</v>
      </c>
      <c r="V46" s="30" t="s">
        <v>300</v>
      </c>
      <c r="X46" s="30" t="s">
        <v>266</v>
      </c>
      <c r="Y46" s="30" t="s">
        <v>292</v>
      </c>
      <c r="Z46" s="30" t="s">
        <v>293</v>
      </c>
      <c r="AA46" s="30" t="s">
        <v>353</v>
      </c>
      <c r="AB46" s="30" t="s">
        <v>294</v>
      </c>
      <c r="AC46" s="30" t="s">
        <v>296</v>
      </c>
      <c r="AD46" s="30" t="s">
        <v>297</v>
      </c>
      <c r="AE46" s="30" t="s">
        <v>298</v>
      </c>
      <c r="AF46" s="30" t="s">
        <v>299</v>
      </c>
      <c r="AG46" s="30" t="s">
        <v>284</v>
      </c>
      <c r="AH46" s="30" t="s">
        <v>300</v>
      </c>
    </row>
    <row r="47" spans="1:34" ht="11.25" customHeight="1" x14ac:dyDescent="0.25">
      <c r="A47" s="9" t="s">
        <v>58</v>
      </c>
      <c r="B47" s="9" t="s">
        <v>741</v>
      </c>
      <c r="C47" s="9" t="s">
        <v>742</v>
      </c>
      <c r="D47" s="9" t="s">
        <v>743</v>
      </c>
      <c r="E47" s="9" t="s">
        <v>744</v>
      </c>
      <c r="F47" s="9" t="s">
        <v>745</v>
      </c>
      <c r="G47" s="9" t="s">
        <v>746</v>
      </c>
      <c r="L47" s="26">
        <f>$I$5*$L$5</f>
        <v>0</v>
      </c>
      <c r="M47" s="26">
        <f>$I$5*$M$5</f>
        <v>0</v>
      </c>
      <c r="N47" s="26">
        <f>$I$5*$N$5</f>
        <v>0</v>
      </c>
      <c r="O47" s="26">
        <f>$I$5*$O$5</f>
        <v>0</v>
      </c>
      <c r="P47" s="26">
        <f>$I$5*$P$5</f>
        <v>0</v>
      </c>
      <c r="Q47" s="26">
        <f>$I$5*$Q$5</f>
        <v>0</v>
      </c>
      <c r="R47" s="26">
        <f>$I$5*$R$5</f>
        <v>0</v>
      </c>
      <c r="S47" s="26">
        <f>$I$5*$S$5</f>
        <v>0</v>
      </c>
      <c r="T47" s="26">
        <f>$I$5*$T$5</f>
        <v>0</v>
      </c>
      <c r="U47" s="26">
        <f>$I$5*$U$5</f>
        <v>0</v>
      </c>
      <c r="V47" s="26">
        <f>$I$5*$V$5</f>
        <v>0</v>
      </c>
      <c r="X47" s="26">
        <f>$I$5*$X$5</f>
        <v>0</v>
      </c>
      <c r="Y47" s="26">
        <f>$I$5*$Y$5</f>
        <v>0</v>
      </c>
      <c r="Z47" s="26">
        <f>$I$5*$Z$5</f>
        <v>0</v>
      </c>
      <c r="AA47" s="26">
        <f>$I$5*$AA$5</f>
        <v>0</v>
      </c>
      <c r="AB47" s="26">
        <f>$I$5*$AB$5</f>
        <v>0</v>
      </c>
      <c r="AC47" s="26">
        <f>$I$5*$AC$5</f>
        <v>0</v>
      </c>
      <c r="AD47" s="26">
        <f>$I$5*$AD$5</f>
        <v>0</v>
      </c>
      <c r="AE47" s="26">
        <f>$I$5*$AE$5</f>
        <v>0</v>
      </c>
      <c r="AF47" s="26">
        <f>$I$5*$AF$5</f>
        <v>0</v>
      </c>
      <c r="AG47" s="26">
        <f>$I$5*$AG$5</f>
        <v>0</v>
      </c>
      <c r="AH47" s="26">
        <f>$I$5*$AH$5</f>
        <v>0</v>
      </c>
    </row>
    <row r="48" spans="1:34" ht="11.25" customHeight="1" x14ac:dyDescent="0.25">
      <c r="A48" s="9" t="s">
        <v>58</v>
      </c>
      <c r="B48" s="9" t="s">
        <v>741</v>
      </c>
      <c r="C48" s="9" t="s">
        <v>742</v>
      </c>
      <c r="D48" s="9" t="s">
        <v>743</v>
      </c>
      <c r="E48" s="9" t="s">
        <v>744</v>
      </c>
      <c r="F48" s="9" t="s">
        <v>745</v>
      </c>
      <c r="G48" s="9" t="s">
        <v>747</v>
      </c>
      <c r="L48" s="26">
        <f>$I$6*$L$6</f>
        <v>0</v>
      </c>
      <c r="M48" s="26">
        <f>$I$6*$M$6</f>
        <v>0</v>
      </c>
      <c r="N48" s="26">
        <f>$I$6*$N$6</f>
        <v>0</v>
      </c>
      <c r="O48" s="26">
        <f>$I$6*$O$6</f>
        <v>0</v>
      </c>
      <c r="P48" s="26">
        <f>$I$6*$P$6</f>
        <v>0</v>
      </c>
      <c r="Q48" s="26">
        <f>$I$6*$Q$6</f>
        <v>0</v>
      </c>
      <c r="R48" s="26">
        <f>$I$6*$R$6</f>
        <v>0</v>
      </c>
      <c r="S48" s="26">
        <f>$I$6*$S$6</f>
        <v>0</v>
      </c>
      <c r="T48" s="26">
        <f>$I$6*$T$6</f>
        <v>0</v>
      </c>
      <c r="U48" s="26">
        <f>$I$6*$U$6</f>
        <v>0</v>
      </c>
      <c r="V48" s="26">
        <f>$I$6*$V$6</f>
        <v>0</v>
      </c>
      <c r="X48" s="26">
        <f>$I$6*$X$6</f>
        <v>0</v>
      </c>
      <c r="Y48" s="26">
        <f>$I$6*$Y$6</f>
        <v>0</v>
      </c>
      <c r="Z48" s="26">
        <f>$I$6*$Z$6</f>
        <v>0</v>
      </c>
      <c r="AA48" s="26">
        <f>$I$6*$AA$6</f>
        <v>0</v>
      </c>
      <c r="AB48" s="26">
        <f>$I$6*$AB$6</f>
        <v>0</v>
      </c>
      <c r="AC48" s="26">
        <f>$I$6*$AC$6</f>
        <v>0</v>
      </c>
      <c r="AD48" s="26">
        <f>$I$6*$AD$6</f>
        <v>0</v>
      </c>
      <c r="AE48" s="26">
        <f>$I$6*$AE$6</f>
        <v>0</v>
      </c>
      <c r="AF48" s="26">
        <f>$I$6*$AF$6</f>
        <v>0</v>
      </c>
      <c r="AG48" s="26">
        <f>$I$6*$AG$6</f>
        <v>0</v>
      </c>
      <c r="AH48" s="26">
        <f>$I$6*$AH$6</f>
        <v>0</v>
      </c>
    </row>
    <row r="49" spans="1:34" ht="11.25" customHeight="1" x14ac:dyDescent="0.25">
      <c r="A49" s="9" t="s">
        <v>22</v>
      </c>
      <c r="B49" s="9" t="s">
        <v>748</v>
      </c>
      <c r="C49" s="9" t="s">
        <v>749</v>
      </c>
      <c r="D49" s="9" t="s">
        <v>750</v>
      </c>
      <c r="E49" s="9" t="s">
        <v>751</v>
      </c>
      <c r="F49" s="9" t="s">
        <v>752</v>
      </c>
      <c r="G49" s="9" t="s">
        <v>753</v>
      </c>
      <c r="L49" s="26">
        <f>$I$7*$L$7</f>
        <v>0</v>
      </c>
      <c r="M49" s="26">
        <f>$I$7*$M$7</f>
        <v>0</v>
      </c>
      <c r="N49" s="26">
        <f>$I$7*$N$7</f>
        <v>0</v>
      </c>
      <c r="O49" s="26">
        <f>$I$7*$O$7</f>
        <v>0</v>
      </c>
      <c r="P49" s="26">
        <f>$I$7*$P$7</f>
        <v>0</v>
      </c>
      <c r="Q49" s="26">
        <f>$I$7*$Q$7</f>
        <v>0</v>
      </c>
      <c r="R49" s="26">
        <f>$I$7*$R$7</f>
        <v>0</v>
      </c>
      <c r="S49" s="26">
        <f>$I$7*$S$7</f>
        <v>0</v>
      </c>
      <c r="T49" s="26">
        <f>$I$7*$T$7</f>
        <v>0</v>
      </c>
      <c r="U49" s="26">
        <f>$I$7*$U$7</f>
        <v>0</v>
      </c>
      <c r="V49" s="26">
        <f>$I$7*$V$7</f>
        <v>0</v>
      </c>
      <c r="X49" s="26">
        <f>$I$7*$X$7</f>
        <v>0</v>
      </c>
      <c r="Y49" s="26">
        <f>$I$7*$Y$7</f>
        <v>0</v>
      </c>
      <c r="Z49" s="26">
        <f>$I$7*$Z$7</f>
        <v>0</v>
      </c>
      <c r="AA49" s="26">
        <f>$I$7*$AA$7</f>
        <v>0</v>
      </c>
      <c r="AB49" s="26">
        <f>$I$7*$AB$7</f>
        <v>0</v>
      </c>
      <c r="AC49" s="26">
        <f>$I$7*$AC$7</f>
        <v>0</v>
      </c>
      <c r="AD49" s="26">
        <f>$I$7*$AD$7</f>
        <v>0</v>
      </c>
      <c r="AE49" s="26">
        <f>$I$7*$AE$7</f>
        <v>0</v>
      </c>
      <c r="AF49" s="26">
        <f>$I$7*$AF$7</f>
        <v>0</v>
      </c>
      <c r="AG49" s="26">
        <f>$I$7*$AG$7</f>
        <v>0</v>
      </c>
      <c r="AH49" s="26">
        <f>$I$7*$AH$7</f>
        <v>0</v>
      </c>
    </row>
    <row r="50" spans="1:34" ht="11.25" customHeight="1" x14ac:dyDescent="0.25">
      <c r="A50" s="9" t="s">
        <v>22</v>
      </c>
      <c r="B50" s="9" t="s">
        <v>748</v>
      </c>
      <c r="C50" s="9" t="s">
        <v>749</v>
      </c>
      <c r="D50" s="9" t="s">
        <v>750</v>
      </c>
      <c r="E50" s="9" t="s">
        <v>751</v>
      </c>
      <c r="F50" s="9" t="s">
        <v>752</v>
      </c>
      <c r="G50" s="9" t="s">
        <v>754</v>
      </c>
      <c r="L50" s="26">
        <f>$I$8*$L$8</f>
        <v>0</v>
      </c>
      <c r="M50" s="26">
        <f>$I$8*$M$8</f>
        <v>0</v>
      </c>
      <c r="N50" s="26">
        <f>$I$8*$N$8</f>
        <v>0</v>
      </c>
      <c r="O50" s="26">
        <f>$I$8*$O$8</f>
        <v>0</v>
      </c>
      <c r="P50" s="26">
        <f>$I$8*$P$8</f>
        <v>0</v>
      </c>
      <c r="Q50" s="26">
        <f>$I$8*$Q$8</f>
        <v>0</v>
      </c>
      <c r="R50" s="26">
        <f>$I$8*$R$8</f>
        <v>0</v>
      </c>
      <c r="S50" s="26">
        <f>$I$8*$S$8</f>
        <v>0</v>
      </c>
      <c r="T50" s="26">
        <f>$I$8*$T$8</f>
        <v>0</v>
      </c>
      <c r="U50" s="26">
        <f>$I$8*$U$8</f>
        <v>0</v>
      </c>
      <c r="V50" s="26">
        <f>$I$8*$V$8</f>
        <v>0</v>
      </c>
      <c r="X50" s="26">
        <f>$I$8*$X$8</f>
        <v>0</v>
      </c>
      <c r="Y50" s="26">
        <f>$I$8*$Y$8</f>
        <v>0</v>
      </c>
      <c r="Z50" s="26">
        <f>$I$8*$Z$8</f>
        <v>0</v>
      </c>
      <c r="AA50" s="26">
        <f>$I$8*$AA$8</f>
        <v>0</v>
      </c>
      <c r="AB50" s="26">
        <f>$I$8*$AB$8</f>
        <v>0</v>
      </c>
      <c r="AC50" s="26">
        <f>$I$8*$AC$8</f>
        <v>0</v>
      </c>
      <c r="AD50" s="26">
        <f>$I$8*$AD$8</f>
        <v>0</v>
      </c>
      <c r="AE50" s="26">
        <f>$I$8*$AE$8</f>
        <v>0</v>
      </c>
      <c r="AF50" s="26">
        <f>$I$8*$AF$8</f>
        <v>0</v>
      </c>
      <c r="AG50" s="26">
        <f>$I$8*$AG$8</f>
        <v>0</v>
      </c>
      <c r="AH50" s="26">
        <f>$I$8*$AH$8</f>
        <v>0</v>
      </c>
    </row>
    <row r="51" spans="1:34" ht="11.25" customHeight="1" x14ac:dyDescent="0.25">
      <c r="A51" s="9" t="s">
        <v>22</v>
      </c>
      <c r="B51" s="9" t="s">
        <v>748</v>
      </c>
      <c r="C51" s="9" t="s">
        <v>749</v>
      </c>
      <c r="D51" s="9" t="s">
        <v>750</v>
      </c>
      <c r="E51" s="9" t="s">
        <v>751</v>
      </c>
      <c r="F51" s="9" t="s">
        <v>752</v>
      </c>
      <c r="G51" s="9" t="s">
        <v>755</v>
      </c>
      <c r="L51" s="26">
        <f>$I$9*$L$9</f>
        <v>0</v>
      </c>
      <c r="M51" s="26">
        <f>$I$9*$M$9</f>
        <v>0</v>
      </c>
      <c r="N51" s="26">
        <f>$I$9*$N$9</f>
        <v>0</v>
      </c>
      <c r="O51" s="26">
        <f>$I$9*$O$9</f>
        <v>0</v>
      </c>
      <c r="P51" s="26">
        <f>$I$9*$P$9</f>
        <v>0</v>
      </c>
      <c r="Q51" s="26">
        <f>$I$9*$Q$9</f>
        <v>0</v>
      </c>
      <c r="R51" s="26">
        <f>$I$9*$R$9</f>
        <v>0</v>
      </c>
      <c r="S51" s="26">
        <f>$I$9*$S$9</f>
        <v>0</v>
      </c>
      <c r="T51" s="26">
        <f>$I$9*$T$9</f>
        <v>0</v>
      </c>
      <c r="U51" s="26">
        <f>$I$9*$U$9</f>
        <v>0</v>
      </c>
      <c r="V51" s="26">
        <f>$I$9*$V$9</f>
        <v>0</v>
      </c>
      <c r="X51" s="26">
        <f>$I$9*$X$9</f>
        <v>0</v>
      </c>
      <c r="Y51" s="26">
        <f>$I$9*$Y$9</f>
        <v>0</v>
      </c>
      <c r="Z51" s="26">
        <f>$I$9*$Z$9</f>
        <v>0</v>
      </c>
      <c r="AA51" s="26">
        <f>$I$9*$AA$9</f>
        <v>0</v>
      </c>
      <c r="AB51" s="26">
        <f>$I$9*$AB$9</f>
        <v>0</v>
      </c>
      <c r="AC51" s="26">
        <f>$I$9*$AC$9</f>
        <v>0</v>
      </c>
      <c r="AD51" s="26">
        <f>$I$9*$AD$9</f>
        <v>0</v>
      </c>
      <c r="AE51" s="26">
        <f>$I$9*$AE$9</f>
        <v>0</v>
      </c>
      <c r="AF51" s="26">
        <f>$I$9*$AF$9</f>
        <v>0</v>
      </c>
      <c r="AG51" s="26">
        <f>$I$9*$AG$9</f>
        <v>0</v>
      </c>
      <c r="AH51" s="26">
        <f>$I$9*$AH$9</f>
        <v>0</v>
      </c>
    </row>
    <row r="52" spans="1:34" ht="11.25" customHeight="1" x14ac:dyDescent="0.25">
      <c r="A52" s="9" t="s">
        <v>22</v>
      </c>
      <c r="B52" s="9" t="s">
        <v>756</v>
      </c>
      <c r="C52" s="9" t="s">
        <v>757</v>
      </c>
      <c r="D52" s="9" t="s">
        <v>758</v>
      </c>
      <c r="E52" s="9" t="s">
        <v>759</v>
      </c>
      <c r="F52" s="9" t="s">
        <v>760</v>
      </c>
      <c r="G52" s="9" t="s">
        <v>761</v>
      </c>
      <c r="L52" s="26">
        <f>$I$10*$L$10</f>
        <v>0</v>
      </c>
      <c r="M52" s="26">
        <f>$I$10*$M$10</f>
        <v>0</v>
      </c>
      <c r="N52" s="26">
        <f>$I$10*$N$10</f>
        <v>0</v>
      </c>
      <c r="O52" s="26">
        <f>$I$10*$O$10</f>
        <v>0</v>
      </c>
      <c r="P52" s="26">
        <f>$I$10*$P$10</f>
        <v>0</v>
      </c>
      <c r="Q52" s="26">
        <f>$I$10*$Q$10</f>
        <v>663583.42209960497</v>
      </c>
      <c r="R52" s="26">
        <f>$I$10*$R$10</f>
        <v>0</v>
      </c>
      <c r="S52" s="26">
        <f>$I$10*$S$10</f>
        <v>0</v>
      </c>
      <c r="T52" s="26">
        <f>$I$10*$T$10</f>
        <v>0</v>
      </c>
      <c r="U52" s="26">
        <f>$I$10*$U$10</f>
        <v>0</v>
      </c>
      <c r="V52" s="26">
        <f>$I$10*$V$10</f>
        <v>0</v>
      </c>
      <c r="X52" s="26">
        <f>$I$10*$X$10</f>
        <v>0</v>
      </c>
      <c r="Y52" s="26">
        <f>$I$10*$Y$10</f>
        <v>0</v>
      </c>
      <c r="Z52" s="26">
        <f>$I$10*$Z$10</f>
        <v>0</v>
      </c>
      <c r="AA52" s="26">
        <f>$I$10*$AA$10</f>
        <v>0</v>
      </c>
      <c r="AB52" s="26">
        <f>$I$10*$AB$10</f>
        <v>0</v>
      </c>
      <c r="AC52" s="26">
        <f>$I$10*$AC$10</f>
        <v>856989.93089174549</v>
      </c>
      <c r="AD52" s="26">
        <f>$I$10*$AD$10</f>
        <v>0</v>
      </c>
      <c r="AE52" s="26">
        <f>$I$10*$AE$10</f>
        <v>0</v>
      </c>
      <c r="AF52" s="26">
        <f>$I$10*$AF$10</f>
        <v>0</v>
      </c>
      <c r="AG52" s="26">
        <f>$I$10*$AG$10</f>
        <v>0</v>
      </c>
      <c r="AH52" s="26">
        <f>$I$10*$AH$10</f>
        <v>0</v>
      </c>
    </row>
    <row r="53" spans="1:34" ht="11.25" customHeight="1" x14ac:dyDescent="0.25">
      <c r="A53" s="9" t="s">
        <v>22</v>
      </c>
      <c r="B53" s="9" t="s">
        <v>756</v>
      </c>
      <c r="C53" s="9" t="s">
        <v>757</v>
      </c>
      <c r="D53" s="9" t="s">
        <v>762</v>
      </c>
      <c r="E53" s="9" t="s">
        <v>763</v>
      </c>
      <c r="F53" s="9" t="s">
        <v>764</v>
      </c>
      <c r="G53" s="9" t="s">
        <v>765</v>
      </c>
      <c r="L53" s="26">
        <f>$I$11*$L$11</f>
        <v>0</v>
      </c>
      <c r="M53" s="26">
        <f>$I$11*$M$11</f>
        <v>0</v>
      </c>
      <c r="N53" s="26">
        <f>$I$11*$N$11</f>
        <v>0</v>
      </c>
      <c r="O53" s="26">
        <f>$I$11*$O$11</f>
        <v>0</v>
      </c>
      <c r="P53" s="26">
        <f>$I$11*$P$11</f>
        <v>0</v>
      </c>
      <c r="Q53" s="26">
        <f>$I$11*$Q$11</f>
        <v>32.27291686334619</v>
      </c>
      <c r="R53" s="26">
        <f>$I$11*$R$11</f>
        <v>0</v>
      </c>
      <c r="S53" s="26">
        <f>$I$11*$S$11</f>
        <v>0</v>
      </c>
      <c r="T53" s="26">
        <f>$I$11*$T$11</f>
        <v>0</v>
      </c>
      <c r="U53" s="26">
        <f>$I$11*$U$11</f>
        <v>0</v>
      </c>
      <c r="V53" s="26">
        <f>$I$11*$V$11</f>
        <v>0</v>
      </c>
      <c r="X53" s="26">
        <f>$I$11*$X$11</f>
        <v>0</v>
      </c>
      <c r="Y53" s="26">
        <f>$I$11*$Y$11</f>
        <v>0</v>
      </c>
      <c r="Z53" s="26">
        <f>$I$11*$Z$11</f>
        <v>0</v>
      </c>
      <c r="AA53" s="26">
        <f>$I$11*$AA$11</f>
        <v>0</v>
      </c>
      <c r="AB53" s="26">
        <f>$I$11*$AB$11</f>
        <v>0</v>
      </c>
      <c r="AC53" s="26">
        <f>$I$11*$AC$11</f>
        <v>41.679107511282346</v>
      </c>
      <c r="AD53" s="26">
        <f>$I$11*$AD$11</f>
        <v>0</v>
      </c>
      <c r="AE53" s="26">
        <f>$I$11*$AE$11</f>
        <v>0</v>
      </c>
      <c r="AF53" s="26">
        <f>$I$11*$AF$11</f>
        <v>0</v>
      </c>
      <c r="AG53" s="26">
        <f>$I$11*$AG$11</f>
        <v>0</v>
      </c>
      <c r="AH53" s="26">
        <f>$I$11*$AH$11</f>
        <v>0</v>
      </c>
    </row>
    <row r="54" spans="1:34" ht="11.25" customHeight="1" x14ac:dyDescent="0.25">
      <c r="A54" s="9" t="s">
        <v>22</v>
      </c>
      <c r="B54" s="9" t="s">
        <v>756</v>
      </c>
      <c r="C54" s="9" t="s">
        <v>757</v>
      </c>
      <c r="D54" s="9" t="s">
        <v>766</v>
      </c>
      <c r="E54" s="9" t="s">
        <v>767</v>
      </c>
      <c r="F54" s="9" t="s">
        <v>768</v>
      </c>
      <c r="G54" s="9" t="s">
        <v>769</v>
      </c>
      <c r="L54" s="26">
        <f>$I$12*$L$12</f>
        <v>0</v>
      </c>
      <c r="M54" s="26">
        <f>$I$12*$M$12</f>
        <v>0</v>
      </c>
      <c r="N54" s="26">
        <f>$I$12*$N$12</f>
        <v>0</v>
      </c>
      <c r="O54" s="26">
        <f>$I$12*$O$12</f>
        <v>0</v>
      </c>
      <c r="P54" s="26">
        <f>$I$12*$P$12</f>
        <v>0</v>
      </c>
      <c r="Q54" s="26">
        <f>$I$12*$Q$12</f>
        <v>842.89943222018098</v>
      </c>
      <c r="R54" s="26">
        <f>$I$12*$R$12</f>
        <v>0</v>
      </c>
      <c r="S54" s="26">
        <f>$I$12*$S$12</f>
        <v>0</v>
      </c>
      <c r="T54" s="26">
        <f>$I$12*$T$12</f>
        <v>0</v>
      </c>
      <c r="U54" s="26">
        <f>$I$12*$U$12</f>
        <v>0</v>
      </c>
      <c r="V54" s="26">
        <f>$I$12*$V$12</f>
        <v>0</v>
      </c>
      <c r="X54" s="26">
        <f>$I$12*$X$12</f>
        <v>0</v>
      </c>
      <c r="Y54" s="26">
        <f>$I$12*$Y$12</f>
        <v>0</v>
      </c>
      <c r="Z54" s="26">
        <f>$I$12*$Z$12</f>
        <v>0</v>
      </c>
      <c r="AA54" s="26">
        <f>$I$12*$AA$12</f>
        <v>0</v>
      </c>
      <c r="AB54" s="26">
        <f>$I$12*$AB$12</f>
        <v>0</v>
      </c>
      <c r="AC54" s="26">
        <f>$I$12*$AC$12</f>
        <v>1088.5689758214569</v>
      </c>
      <c r="AD54" s="26">
        <f>$I$12*$AD$12</f>
        <v>0</v>
      </c>
      <c r="AE54" s="26">
        <f>$I$12*$AE$12</f>
        <v>0</v>
      </c>
      <c r="AF54" s="26">
        <f>$I$12*$AF$12</f>
        <v>0</v>
      </c>
      <c r="AG54" s="26">
        <f>$I$12*$AG$12</f>
        <v>0</v>
      </c>
      <c r="AH54" s="26">
        <f>$I$12*$AH$12</f>
        <v>0</v>
      </c>
    </row>
    <row r="55" spans="1:34" ht="11.25" customHeight="1" x14ac:dyDescent="0.25">
      <c r="A55" s="9" t="s">
        <v>22</v>
      </c>
      <c r="B55" s="9" t="s">
        <v>756</v>
      </c>
      <c r="C55" s="9" t="s">
        <v>757</v>
      </c>
      <c r="D55" s="9" t="s">
        <v>770</v>
      </c>
      <c r="E55" s="9" t="s">
        <v>771</v>
      </c>
      <c r="F55" s="9" t="s">
        <v>772</v>
      </c>
      <c r="G55" s="9" t="s">
        <v>773</v>
      </c>
      <c r="L55" s="26">
        <f>$I$13*$L$13</f>
        <v>0</v>
      </c>
      <c r="M55" s="26">
        <f>$I$13*$M$13</f>
        <v>0</v>
      </c>
      <c r="N55" s="26">
        <f>$I$13*$N$13</f>
        <v>0</v>
      </c>
      <c r="O55" s="26">
        <f>$I$13*$O$13</f>
        <v>0</v>
      </c>
      <c r="P55" s="26">
        <f>$I$13*$P$13</f>
        <v>0</v>
      </c>
      <c r="Q55" s="26">
        <f>$I$13*$Q$13</f>
        <v>13362.37070643375</v>
      </c>
      <c r="R55" s="26">
        <f>$I$13*$R$13</f>
        <v>0</v>
      </c>
      <c r="S55" s="26">
        <f>$I$13*$S$13</f>
        <v>0</v>
      </c>
      <c r="T55" s="26">
        <f>$I$13*$T$13</f>
        <v>0</v>
      </c>
      <c r="U55" s="26">
        <f>$I$13*$U$13</f>
        <v>0</v>
      </c>
      <c r="V55" s="26">
        <f>$I$13*$V$13</f>
        <v>0</v>
      </c>
      <c r="X55" s="26">
        <f>$I$13*$X$13</f>
        <v>0</v>
      </c>
      <c r="Y55" s="26">
        <f>$I$13*$Y$13</f>
        <v>0</v>
      </c>
      <c r="Z55" s="26">
        <f>$I$13*$Z$13</f>
        <v>0</v>
      </c>
      <c r="AA55" s="26">
        <f>$I$13*$AA$13</f>
        <v>0</v>
      </c>
      <c r="AB55" s="26">
        <f>$I$13*$AB$13</f>
        <v>0</v>
      </c>
      <c r="AC55" s="26">
        <f>$I$13*$AC$13</f>
        <v>17256.936757135627</v>
      </c>
      <c r="AD55" s="26">
        <f>$I$13*$AD$13</f>
        <v>0</v>
      </c>
      <c r="AE55" s="26">
        <f>$I$13*$AE$13</f>
        <v>0</v>
      </c>
      <c r="AF55" s="26">
        <f>$I$13*$AF$13</f>
        <v>0</v>
      </c>
      <c r="AG55" s="26">
        <f>$I$13*$AG$13</f>
        <v>0</v>
      </c>
      <c r="AH55" s="26">
        <f>$I$13*$AH$13</f>
        <v>0</v>
      </c>
    </row>
    <row r="56" spans="1:34" ht="11.25" customHeight="1" x14ac:dyDescent="0.25">
      <c r="A56" s="9" t="s">
        <v>22</v>
      </c>
      <c r="B56" s="9" t="s">
        <v>756</v>
      </c>
      <c r="C56" s="9" t="s">
        <v>757</v>
      </c>
      <c r="D56" s="9" t="s">
        <v>774</v>
      </c>
      <c r="E56" s="9" t="s">
        <v>775</v>
      </c>
      <c r="F56" s="9" t="s">
        <v>776</v>
      </c>
      <c r="G56" s="9" t="s">
        <v>777</v>
      </c>
      <c r="L56" s="26">
        <f>$I$14*$L$14</f>
        <v>0</v>
      </c>
      <c r="M56" s="26">
        <f>$I$14*$M$14</f>
        <v>0</v>
      </c>
      <c r="N56" s="26">
        <f>$I$14*$N$14</f>
        <v>0</v>
      </c>
      <c r="O56" s="26">
        <f>$I$14*$O$14</f>
        <v>0</v>
      </c>
      <c r="P56" s="26">
        <f>$I$14*$P$14</f>
        <v>0</v>
      </c>
      <c r="Q56" s="26">
        <f>$I$14*$Q$14</f>
        <v>15658.319800286969</v>
      </c>
      <c r="R56" s="26">
        <f>$I$14*$R$14</f>
        <v>0</v>
      </c>
      <c r="S56" s="26">
        <f>$I$14*$S$14</f>
        <v>0</v>
      </c>
      <c r="T56" s="26">
        <f>$I$14*$T$14</f>
        <v>0</v>
      </c>
      <c r="U56" s="26">
        <f>$I$14*$U$14</f>
        <v>0</v>
      </c>
      <c r="V56" s="26">
        <f>$I$14*$V$14</f>
        <v>0</v>
      </c>
      <c r="X56" s="26">
        <f>$I$14*$X$14</f>
        <v>0</v>
      </c>
      <c r="Y56" s="26">
        <f>$I$14*$Y$14</f>
        <v>0</v>
      </c>
      <c r="Z56" s="26">
        <f>$I$14*$Z$14</f>
        <v>0</v>
      </c>
      <c r="AA56" s="26">
        <f>$I$14*$AA$14</f>
        <v>0</v>
      </c>
      <c r="AB56" s="26">
        <f>$I$14*$AB$14</f>
        <v>0</v>
      </c>
      <c r="AC56" s="26">
        <f>$I$14*$AC$14</f>
        <v>20222.057930667477</v>
      </c>
      <c r="AD56" s="26">
        <f>$I$14*$AD$14</f>
        <v>0</v>
      </c>
      <c r="AE56" s="26">
        <f>$I$14*$AE$14</f>
        <v>0</v>
      </c>
      <c r="AF56" s="26">
        <f>$I$14*$AF$14</f>
        <v>0</v>
      </c>
      <c r="AG56" s="26">
        <f>$I$14*$AG$14</f>
        <v>0</v>
      </c>
      <c r="AH56" s="26">
        <f>$I$14*$AH$14</f>
        <v>0</v>
      </c>
    </row>
    <row r="57" spans="1:34" ht="11.25" customHeight="1" x14ac:dyDescent="0.25">
      <c r="A57" s="9" t="s">
        <v>22</v>
      </c>
      <c r="B57" s="9" t="s">
        <v>778</v>
      </c>
      <c r="C57" s="9" t="s">
        <v>779</v>
      </c>
      <c r="D57" s="9" t="s">
        <v>780</v>
      </c>
      <c r="E57" s="9" t="s">
        <v>781</v>
      </c>
      <c r="F57" s="9" t="s">
        <v>782</v>
      </c>
      <c r="G57" s="9" t="s">
        <v>783</v>
      </c>
      <c r="L57" s="26">
        <f>$I$15*$L$15</f>
        <v>0</v>
      </c>
      <c r="M57" s="26">
        <f>$I$15*$M$15</f>
        <v>0</v>
      </c>
      <c r="N57" s="26">
        <f>$I$15*$N$15</f>
        <v>0</v>
      </c>
      <c r="O57" s="26">
        <f>$I$15*$O$15</f>
        <v>0</v>
      </c>
      <c r="P57" s="26">
        <f>$I$15*$P$15</f>
        <v>0</v>
      </c>
      <c r="Q57" s="26">
        <f>$I$15*$Q$15</f>
        <v>0</v>
      </c>
      <c r="R57" s="26">
        <f>$I$15*$R$15</f>
        <v>0</v>
      </c>
      <c r="S57" s="26">
        <f>$I$15*$S$15</f>
        <v>0</v>
      </c>
      <c r="T57" s="26">
        <f>$I$15*$T$15</f>
        <v>0</v>
      </c>
      <c r="U57" s="26">
        <f>$I$15*$U$15</f>
        <v>0</v>
      </c>
      <c r="V57" s="26">
        <f>$I$15*$V$15</f>
        <v>0</v>
      </c>
      <c r="X57" s="26">
        <f>$I$15*$X$15</f>
        <v>0</v>
      </c>
      <c r="Y57" s="26">
        <f>$I$15*$Y$15</f>
        <v>0</v>
      </c>
      <c r="Z57" s="26">
        <f>$I$15*$Z$15</f>
        <v>0</v>
      </c>
      <c r="AA57" s="26">
        <f>$I$15*$AA$15</f>
        <v>0</v>
      </c>
      <c r="AB57" s="26">
        <f>$I$15*$AB$15</f>
        <v>0</v>
      </c>
      <c r="AC57" s="26">
        <f>$I$15*$AC$15</f>
        <v>0</v>
      </c>
      <c r="AD57" s="26">
        <f>$I$15*$AD$15</f>
        <v>0</v>
      </c>
      <c r="AE57" s="26">
        <f>$I$15*$AE$15</f>
        <v>0</v>
      </c>
      <c r="AF57" s="26">
        <f>$I$15*$AF$15</f>
        <v>0</v>
      </c>
      <c r="AG57" s="26">
        <f>$I$15*$AG$15</f>
        <v>0</v>
      </c>
      <c r="AH57" s="26">
        <f>$I$15*$AH$15</f>
        <v>0</v>
      </c>
    </row>
    <row r="58" spans="1:34" ht="11.25" customHeight="1" x14ac:dyDescent="0.25">
      <c r="A58" s="9" t="s">
        <v>22</v>
      </c>
      <c r="B58" s="9" t="s">
        <v>778</v>
      </c>
      <c r="C58" s="9" t="s">
        <v>779</v>
      </c>
      <c r="D58" s="9" t="s">
        <v>784</v>
      </c>
      <c r="E58" s="9" t="s">
        <v>785</v>
      </c>
      <c r="F58" s="9" t="s">
        <v>786</v>
      </c>
      <c r="G58" s="9" t="s">
        <v>787</v>
      </c>
      <c r="L58" s="26">
        <f>$I$16*$L$16</f>
        <v>0</v>
      </c>
      <c r="M58" s="26">
        <f>$I$16*$M$16</f>
        <v>0</v>
      </c>
      <c r="N58" s="26">
        <f>$I$16*$N$16</f>
        <v>0</v>
      </c>
      <c r="O58" s="26">
        <f>$I$16*$O$16</f>
        <v>0</v>
      </c>
      <c r="P58" s="26">
        <f>$I$16*$P$16</f>
        <v>0</v>
      </c>
      <c r="Q58" s="26">
        <f>$I$16*$Q$16</f>
        <v>0</v>
      </c>
      <c r="R58" s="26">
        <f>$I$16*$R$16</f>
        <v>0</v>
      </c>
      <c r="S58" s="26">
        <f>$I$16*$S$16</f>
        <v>0</v>
      </c>
      <c r="T58" s="26">
        <f>$I$16*$T$16</f>
        <v>0</v>
      </c>
      <c r="U58" s="26">
        <f>$I$16*$U$16</f>
        <v>0</v>
      </c>
      <c r="V58" s="26">
        <f>$I$16*$V$16</f>
        <v>0</v>
      </c>
      <c r="X58" s="26">
        <f>$I$16*$X$16</f>
        <v>0</v>
      </c>
      <c r="Y58" s="26">
        <f>$I$16*$Y$16</f>
        <v>0</v>
      </c>
      <c r="Z58" s="26">
        <f>$I$16*$Z$16</f>
        <v>0</v>
      </c>
      <c r="AA58" s="26">
        <f>$I$16*$AA$16</f>
        <v>0</v>
      </c>
      <c r="AB58" s="26">
        <f>$I$16*$AB$16</f>
        <v>0</v>
      </c>
      <c r="AC58" s="26">
        <f>$I$16*$AC$16</f>
        <v>0</v>
      </c>
      <c r="AD58" s="26">
        <f>$I$16*$AD$16</f>
        <v>0</v>
      </c>
      <c r="AE58" s="26">
        <f>$I$16*$AE$16</f>
        <v>0</v>
      </c>
      <c r="AF58" s="26">
        <f>$I$16*$AF$16</f>
        <v>0</v>
      </c>
      <c r="AG58" s="26">
        <f>$I$16*$AG$16</f>
        <v>0</v>
      </c>
      <c r="AH58" s="26">
        <f>$I$16*$AH$16</f>
        <v>0</v>
      </c>
    </row>
    <row r="59" spans="1:34" ht="11.25" customHeight="1" x14ac:dyDescent="0.25">
      <c r="A59" s="9" t="s">
        <v>22</v>
      </c>
      <c r="B59" s="9" t="s">
        <v>778</v>
      </c>
      <c r="C59" s="9" t="s">
        <v>779</v>
      </c>
      <c r="D59" s="9" t="s">
        <v>788</v>
      </c>
      <c r="E59" s="9" t="s">
        <v>789</v>
      </c>
      <c r="F59" s="9" t="s">
        <v>790</v>
      </c>
      <c r="G59" s="9" t="s">
        <v>791</v>
      </c>
      <c r="L59" s="26">
        <f>$I$17*$L$17</f>
        <v>0</v>
      </c>
      <c r="M59" s="26">
        <f>$I$17*$M$17</f>
        <v>0</v>
      </c>
      <c r="N59" s="26">
        <f>$I$17*$N$17</f>
        <v>0</v>
      </c>
      <c r="O59" s="26">
        <f>$I$17*$O$17</f>
        <v>0</v>
      </c>
      <c r="P59" s="26">
        <f>$I$17*$P$17</f>
        <v>0</v>
      </c>
      <c r="Q59" s="26">
        <f>$I$17*$Q$17</f>
        <v>0</v>
      </c>
      <c r="R59" s="26">
        <f>$I$17*$R$17</f>
        <v>0</v>
      </c>
      <c r="S59" s="26">
        <f>$I$17*$S$17</f>
        <v>0</v>
      </c>
      <c r="T59" s="26">
        <f>$I$17*$T$17</f>
        <v>0</v>
      </c>
      <c r="U59" s="26">
        <f>$I$17*$U$17</f>
        <v>0</v>
      </c>
      <c r="V59" s="26">
        <f>$I$17*$V$17</f>
        <v>0</v>
      </c>
      <c r="X59" s="26">
        <f>$I$17*$X$17</f>
        <v>0</v>
      </c>
      <c r="Y59" s="26">
        <f>$I$17*$Y$17</f>
        <v>0</v>
      </c>
      <c r="Z59" s="26">
        <f>$I$17*$Z$17</f>
        <v>0</v>
      </c>
      <c r="AA59" s="26">
        <f>$I$17*$AA$17</f>
        <v>0</v>
      </c>
      <c r="AB59" s="26">
        <f>$I$17*$AB$17</f>
        <v>0</v>
      </c>
      <c r="AC59" s="26">
        <f>$I$17*$AC$17</f>
        <v>0</v>
      </c>
      <c r="AD59" s="26">
        <f>$I$17*$AD$17</f>
        <v>0</v>
      </c>
      <c r="AE59" s="26">
        <f>$I$17*$AE$17</f>
        <v>0</v>
      </c>
      <c r="AF59" s="26">
        <f>$I$17*$AF$17</f>
        <v>0</v>
      </c>
      <c r="AG59" s="26">
        <f>$I$17*$AG$17</f>
        <v>0</v>
      </c>
      <c r="AH59" s="26">
        <f>$I$17*$AH$17</f>
        <v>0</v>
      </c>
    </row>
    <row r="60" spans="1:34" ht="11.25" customHeight="1" x14ac:dyDescent="0.25">
      <c r="A60" s="9" t="s">
        <v>22</v>
      </c>
      <c r="B60" s="9" t="s">
        <v>778</v>
      </c>
      <c r="C60" s="9" t="s">
        <v>779</v>
      </c>
      <c r="D60" s="9" t="s">
        <v>792</v>
      </c>
      <c r="E60" s="9" t="s">
        <v>793</v>
      </c>
      <c r="F60" s="9" t="s">
        <v>794</v>
      </c>
      <c r="G60" s="9" t="s">
        <v>795</v>
      </c>
      <c r="L60" s="26">
        <f>$I$18*$L$18</f>
        <v>0</v>
      </c>
      <c r="M60" s="26">
        <f>$I$18*$M$18</f>
        <v>0</v>
      </c>
      <c r="N60" s="26">
        <f>$I$18*$N$18</f>
        <v>0</v>
      </c>
      <c r="O60" s="26">
        <f>$I$18*$O$18</f>
        <v>0</v>
      </c>
      <c r="P60" s="26">
        <f>$I$18*$P$18</f>
        <v>0</v>
      </c>
      <c r="Q60" s="26">
        <f>$I$18*$Q$18</f>
        <v>0</v>
      </c>
      <c r="R60" s="26">
        <f>$I$18*$R$18</f>
        <v>0</v>
      </c>
      <c r="S60" s="26">
        <f>$I$18*$S$18</f>
        <v>0</v>
      </c>
      <c r="T60" s="26">
        <f>$I$18*$T$18</f>
        <v>0</v>
      </c>
      <c r="U60" s="26">
        <f>$I$18*$U$18</f>
        <v>0</v>
      </c>
      <c r="V60" s="26">
        <f>$I$18*$V$18</f>
        <v>0</v>
      </c>
      <c r="X60" s="26">
        <f>$I$18*$X$18</f>
        <v>0</v>
      </c>
      <c r="Y60" s="26">
        <f>$I$18*$Y$18</f>
        <v>0</v>
      </c>
      <c r="Z60" s="26">
        <f>$I$18*$Z$18</f>
        <v>0</v>
      </c>
      <c r="AA60" s="26">
        <f>$I$18*$AA$18</f>
        <v>0</v>
      </c>
      <c r="AB60" s="26">
        <f>$I$18*$AB$18</f>
        <v>0</v>
      </c>
      <c r="AC60" s="26">
        <f>$I$18*$AC$18</f>
        <v>0</v>
      </c>
      <c r="AD60" s="26">
        <f>$I$18*$AD$18</f>
        <v>0</v>
      </c>
      <c r="AE60" s="26">
        <f>$I$18*$AE$18</f>
        <v>0</v>
      </c>
      <c r="AF60" s="26">
        <f>$I$18*$AF$18</f>
        <v>0</v>
      </c>
      <c r="AG60" s="26">
        <f>$I$18*$AG$18</f>
        <v>0</v>
      </c>
      <c r="AH60" s="26">
        <f>$I$18*$AH$18</f>
        <v>0</v>
      </c>
    </row>
    <row r="61" spans="1:34" ht="11.25" customHeight="1" x14ac:dyDescent="0.25">
      <c r="A61" s="9" t="s">
        <v>22</v>
      </c>
      <c r="B61" s="9" t="s">
        <v>778</v>
      </c>
      <c r="C61" s="9" t="s">
        <v>779</v>
      </c>
      <c r="D61" s="9" t="s">
        <v>796</v>
      </c>
      <c r="E61" s="9" t="s">
        <v>797</v>
      </c>
      <c r="F61" s="9" t="s">
        <v>798</v>
      </c>
      <c r="G61" s="9" t="s">
        <v>799</v>
      </c>
      <c r="L61" s="26">
        <f>$I$19*$L$19</f>
        <v>0</v>
      </c>
      <c r="M61" s="26">
        <f>$I$19*$M$19</f>
        <v>0</v>
      </c>
      <c r="N61" s="26">
        <f>$I$19*$N$19</f>
        <v>0</v>
      </c>
      <c r="O61" s="26">
        <f>$I$19*$O$19</f>
        <v>0</v>
      </c>
      <c r="P61" s="26">
        <f>$I$19*$P$19</f>
        <v>0</v>
      </c>
      <c r="Q61" s="26">
        <f>$I$19*$Q$19</f>
        <v>0</v>
      </c>
      <c r="R61" s="26">
        <f>$I$19*$R$19</f>
        <v>0</v>
      </c>
      <c r="S61" s="26">
        <f>$I$19*$S$19</f>
        <v>0</v>
      </c>
      <c r="T61" s="26">
        <f>$I$19*$T$19</f>
        <v>0</v>
      </c>
      <c r="U61" s="26">
        <f>$I$19*$U$19</f>
        <v>0</v>
      </c>
      <c r="V61" s="26">
        <f>$I$19*$V$19</f>
        <v>0</v>
      </c>
      <c r="X61" s="26">
        <f>$I$19*$X$19</f>
        <v>0</v>
      </c>
      <c r="Y61" s="26">
        <f>$I$19*$Y$19</f>
        <v>0</v>
      </c>
      <c r="Z61" s="26">
        <f>$I$19*$Z$19</f>
        <v>0</v>
      </c>
      <c r="AA61" s="26">
        <f>$I$19*$AA$19</f>
        <v>0</v>
      </c>
      <c r="AB61" s="26">
        <f>$I$19*$AB$19</f>
        <v>0</v>
      </c>
      <c r="AC61" s="26">
        <f>$I$19*$AC$19</f>
        <v>0</v>
      </c>
      <c r="AD61" s="26">
        <f>$I$19*$AD$19</f>
        <v>0</v>
      </c>
      <c r="AE61" s="26">
        <f>$I$19*$AE$19</f>
        <v>0</v>
      </c>
      <c r="AF61" s="26">
        <f>$I$19*$AF$19</f>
        <v>0</v>
      </c>
      <c r="AG61" s="26">
        <f>$I$19*$AG$19</f>
        <v>0</v>
      </c>
      <c r="AH61" s="26">
        <f>$I$19*$AH$19</f>
        <v>0</v>
      </c>
    </row>
    <row r="62" spans="1:34" ht="11.25" customHeight="1" x14ac:dyDescent="0.25">
      <c r="A62" s="9" t="s">
        <v>31</v>
      </c>
      <c r="B62" s="9" t="s">
        <v>800</v>
      </c>
      <c r="C62" s="9" t="s">
        <v>801</v>
      </c>
      <c r="D62" s="9" t="s">
        <v>802</v>
      </c>
      <c r="E62" s="9" t="s">
        <v>803</v>
      </c>
      <c r="F62" s="9" t="s">
        <v>804</v>
      </c>
      <c r="G62" s="9" t="s">
        <v>805</v>
      </c>
      <c r="L62" s="26">
        <f>$I$20*$L$20</f>
        <v>0</v>
      </c>
      <c r="M62" s="26">
        <f>$I$20*$M$20</f>
        <v>0</v>
      </c>
      <c r="N62" s="26">
        <f>$I$20*$N$20</f>
        <v>0</v>
      </c>
      <c r="O62" s="26">
        <f>$I$20*$O$20</f>
        <v>0</v>
      </c>
      <c r="P62" s="26">
        <f>$I$20*$P$20</f>
        <v>0</v>
      </c>
      <c r="Q62" s="26">
        <f>$I$20*$Q$20</f>
        <v>0</v>
      </c>
      <c r="R62" s="26">
        <f>$I$20*$R$20</f>
        <v>0</v>
      </c>
      <c r="S62" s="26">
        <f>$I$20*$S$20</f>
        <v>0</v>
      </c>
      <c r="T62" s="26">
        <f>$I$20*$T$20</f>
        <v>0</v>
      </c>
      <c r="U62" s="26">
        <f>$I$20*$U$20</f>
        <v>0</v>
      </c>
      <c r="V62" s="26">
        <f>$I$20*$V$20</f>
        <v>0</v>
      </c>
      <c r="X62" s="26">
        <f>$I$20*$X$20</f>
        <v>0</v>
      </c>
      <c r="Y62" s="26">
        <f>$I$20*$Y$20</f>
        <v>0</v>
      </c>
      <c r="Z62" s="26">
        <f>$I$20*$Z$20</f>
        <v>0</v>
      </c>
      <c r="AA62" s="26">
        <f>$I$20*$AA$20</f>
        <v>0</v>
      </c>
      <c r="AB62" s="26">
        <f>$I$20*$AB$20</f>
        <v>0</v>
      </c>
      <c r="AC62" s="26">
        <f>$I$20*$AC$20</f>
        <v>0</v>
      </c>
      <c r="AD62" s="26">
        <f>$I$20*$AD$20</f>
        <v>0</v>
      </c>
      <c r="AE62" s="26">
        <f>$I$20*$AE$20</f>
        <v>0</v>
      </c>
      <c r="AF62" s="26">
        <f>$I$20*$AF$20</f>
        <v>0</v>
      </c>
      <c r="AG62" s="26">
        <f>$I$20*$AG$20</f>
        <v>0</v>
      </c>
      <c r="AH62" s="26">
        <f>$I$20*$AH$20</f>
        <v>0</v>
      </c>
    </row>
    <row r="63" spans="1:34" ht="11.25" customHeight="1" x14ac:dyDescent="0.25">
      <c r="A63" s="9" t="s">
        <v>31</v>
      </c>
      <c r="B63" s="9" t="s">
        <v>800</v>
      </c>
      <c r="C63" s="9" t="s">
        <v>801</v>
      </c>
      <c r="D63" s="9" t="s">
        <v>802</v>
      </c>
      <c r="E63" s="9" t="s">
        <v>803</v>
      </c>
      <c r="F63" s="9" t="s">
        <v>804</v>
      </c>
      <c r="G63" s="9" t="s">
        <v>806</v>
      </c>
      <c r="L63" s="26">
        <f>$I$21*$L$21</f>
        <v>0</v>
      </c>
      <c r="M63" s="26">
        <f>$I$21*$M$21</f>
        <v>0</v>
      </c>
      <c r="N63" s="26">
        <f>$I$21*$N$21</f>
        <v>0</v>
      </c>
      <c r="O63" s="26">
        <f>$I$21*$O$21</f>
        <v>0</v>
      </c>
      <c r="P63" s="26">
        <f>$I$21*$P$21</f>
        <v>0</v>
      </c>
      <c r="Q63" s="26">
        <f>$I$21*$Q$21</f>
        <v>0</v>
      </c>
      <c r="R63" s="26">
        <f>$I$21*$R$21</f>
        <v>0</v>
      </c>
      <c r="S63" s="26">
        <f>$I$21*$S$21</f>
        <v>0</v>
      </c>
      <c r="T63" s="26">
        <f>$I$21*$T$21</f>
        <v>0</v>
      </c>
      <c r="U63" s="26">
        <f>$I$21*$U$21</f>
        <v>0</v>
      </c>
      <c r="V63" s="26">
        <f>$I$21*$V$21</f>
        <v>0</v>
      </c>
      <c r="X63" s="26">
        <f>$I$21*$X$21</f>
        <v>0</v>
      </c>
      <c r="Y63" s="26">
        <f>$I$21*$Y$21</f>
        <v>0</v>
      </c>
      <c r="Z63" s="26">
        <f>$I$21*$Z$21</f>
        <v>0</v>
      </c>
      <c r="AA63" s="26">
        <f>$I$21*$AA$21</f>
        <v>0</v>
      </c>
      <c r="AB63" s="26">
        <f>$I$21*$AB$21</f>
        <v>0</v>
      </c>
      <c r="AC63" s="26">
        <f>$I$21*$AC$21</f>
        <v>0</v>
      </c>
      <c r="AD63" s="26">
        <f>$I$21*$AD$21</f>
        <v>0</v>
      </c>
      <c r="AE63" s="26">
        <f>$I$21*$AE$21</f>
        <v>0</v>
      </c>
      <c r="AF63" s="26">
        <f>$I$21*$AF$21</f>
        <v>0</v>
      </c>
      <c r="AG63" s="26">
        <f>$I$21*$AG$21</f>
        <v>0</v>
      </c>
      <c r="AH63" s="26">
        <f>$I$21*$AH$21</f>
        <v>0</v>
      </c>
    </row>
    <row r="64" spans="1:34" ht="11.25" customHeight="1" x14ac:dyDescent="0.25">
      <c r="A64" s="9" t="s">
        <v>31</v>
      </c>
      <c r="B64" s="9" t="s">
        <v>800</v>
      </c>
      <c r="C64" s="9" t="s">
        <v>801</v>
      </c>
      <c r="D64" s="9" t="s">
        <v>802</v>
      </c>
      <c r="E64" s="9" t="s">
        <v>803</v>
      </c>
      <c r="F64" s="9" t="s">
        <v>804</v>
      </c>
      <c r="G64" s="9" t="s">
        <v>807</v>
      </c>
      <c r="L64" s="26">
        <f>$I$22*$L$22</f>
        <v>0</v>
      </c>
      <c r="M64" s="26">
        <f>$I$22*$M$22</f>
        <v>0</v>
      </c>
      <c r="N64" s="26">
        <f>$I$22*$N$22</f>
        <v>0</v>
      </c>
      <c r="O64" s="26">
        <f>$I$22*$O$22</f>
        <v>0</v>
      </c>
      <c r="P64" s="26">
        <f>$I$22*$P$22</f>
        <v>0</v>
      </c>
      <c r="Q64" s="26">
        <f>$I$22*$Q$22</f>
        <v>0</v>
      </c>
      <c r="R64" s="26">
        <f>$I$22*$R$22</f>
        <v>0</v>
      </c>
      <c r="S64" s="26">
        <f>$I$22*$S$22</f>
        <v>0</v>
      </c>
      <c r="T64" s="26">
        <f>$I$22*$T$22</f>
        <v>0</v>
      </c>
      <c r="U64" s="26">
        <f>$I$22*$U$22</f>
        <v>0</v>
      </c>
      <c r="V64" s="26">
        <f>$I$22*$V$22</f>
        <v>0</v>
      </c>
      <c r="X64" s="26">
        <f>$I$22*$X$22</f>
        <v>0</v>
      </c>
      <c r="Y64" s="26">
        <f>$I$22*$Y$22</f>
        <v>0</v>
      </c>
      <c r="Z64" s="26">
        <f>$I$22*$Z$22</f>
        <v>0</v>
      </c>
      <c r="AA64" s="26">
        <f>$I$22*$AA$22</f>
        <v>0</v>
      </c>
      <c r="AB64" s="26">
        <f>$I$22*$AB$22</f>
        <v>0</v>
      </c>
      <c r="AC64" s="26">
        <f>$I$22*$AC$22</f>
        <v>0</v>
      </c>
      <c r="AD64" s="26">
        <f>$I$22*$AD$22</f>
        <v>0</v>
      </c>
      <c r="AE64" s="26">
        <f>$I$22*$AE$22</f>
        <v>0</v>
      </c>
      <c r="AF64" s="26">
        <f>$I$22*$AF$22</f>
        <v>0</v>
      </c>
      <c r="AG64" s="26">
        <f>$I$22*$AG$22</f>
        <v>0</v>
      </c>
      <c r="AH64" s="26">
        <f>$I$22*$AH$22</f>
        <v>0</v>
      </c>
    </row>
    <row r="65" spans="1:34" ht="11.25" customHeight="1" x14ac:dyDescent="0.25">
      <c r="A65" s="9" t="s">
        <v>31</v>
      </c>
      <c r="B65" s="9" t="s">
        <v>808</v>
      </c>
      <c r="C65" s="9" t="s">
        <v>809</v>
      </c>
      <c r="D65" s="9" t="s">
        <v>810</v>
      </c>
      <c r="E65" s="9" t="s">
        <v>811</v>
      </c>
      <c r="F65" s="9" t="s">
        <v>812</v>
      </c>
      <c r="G65" s="9" t="s">
        <v>813</v>
      </c>
      <c r="L65" s="26">
        <f>$I$23*$L$23</f>
        <v>0</v>
      </c>
      <c r="M65" s="26">
        <f>$I$23*$M$23</f>
        <v>0</v>
      </c>
      <c r="N65" s="26">
        <f>$I$23*$N$23</f>
        <v>0</v>
      </c>
      <c r="O65" s="26">
        <f>$I$23*$O$23</f>
        <v>0</v>
      </c>
      <c r="P65" s="26">
        <f>$I$23*$P$23</f>
        <v>0</v>
      </c>
      <c r="Q65" s="26">
        <f>$I$23*$Q$23</f>
        <v>1116053.7467963125</v>
      </c>
      <c r="R65" s="26">
        <f>$I$23*$R$23</f>
        <v>0</v>
      </c>
      <c r="S65" s="26">
        <f>$I$23*$S$23</f>
        <v>0</v>
      </c>
      <c r="T65" s="26">
        <f>$I$23*$T$23</f>
        <v>0</v>
      </c>
      <c r="U65" s="26">
        <f>$I$23*$U$23</f>
        <v>0</v>
      </c>
      <c r="V65" s="26">
        <f>$I$23*$V$23</f>
        <v>0</v>
      </c>
      <c r="X65" s="26">
        <f>$I$23*$X$23</f>
        <v>0</v>
      </c>
      <c r="Y65" s="26">
        <f>$I$23*$Y$23</f>
        <v>0</v>
      </c>
      <c r="Z65" s="26">
        <f>$I$23*$Z$23</f>
        <v>0</v>
      </c>
      <c r="AA65" s="26">
        <f>$I$23*$AA$23</f>
        <v>0</v>
      </c>
      <c r="AB65" s="26">
        <f>$I$23*$AB$23</f>
        <v>0</v>
      </c>
      <c r="AC65" s="26">
        <f>$I$23*$AC$23</f>
        <v>1349336.0386716737</v>
      </c>
      <c r="AD65" s="26">
        <f>$I$23*$AD$23</f>
        <v>0</v>
      </c>
      <c r="AE65" s="26">
        <f>$I$23*$AE$23</f>
        <v>0</v>
      </c>
      <c r="AF65" s="26">
        <f>$I$23*$AF$23</f>
        <v>0</v>
      </c>
      <c r="AG65" s="26">
        <f>$I$23*$AG$23</f>
        <v>0</v>
      </c>
      <c r="AH65" s="26">
        <f>$I$23*$AH$23</f>
        <v>0</v>
      </c>
    </row>
    <row r="66" spans="1:34" ht="11.25" customHeight="1" x14ac:dyDescent="0.25">
      <c r="A66" s="9" t="s">
        <v>31</v>
      </c>
      <c r="B66" s="9" t="s">
        <v>800</v>
      </c>
      <c r="C66" s="9" t="s">
        <v>801</v>
      </c>
      <c r="D66" s="9" t="s">
        <v>814</v>
      </c>
      <c r="E66" s="9" t="s">
        <v>815</v>
      </c>
      <c r="F66" s="9" t="s">
        <v>816</v>
      </c>
      <c r="G66" s="9" t="s">
        <v>817</v>
      </c>
      <c r="L66" s="26">
        <f>$I$24*$L$24</f>
        <v>0</v>
      </c>
      <c r="M66" s="26">
        <f>$I$24*$M$24</f>
        <v>0</v>
      </c>
      <c r="N66" s="26">
        <f>$I$24*$N$24</f>
        <v>0</v>
      </c>
      <c r="O66" s="26">
        <f>$I$24*$O$24</f>
        <v>0</v>
      </c>
      <c r="P66" s="26">
        <f>$I$24*$P$24</f>
        <v>0</v>
      </c>
      <c r="Q66" s="26">
        <f>$I$24*$Q$24</f>
        <v>0</v>
      </c>
      <c r="R66" s="26">
        <f>$I$24*$R$24</f>
        <v>0</v>
      </c>
      <c r="S66" s="26">
        <f>$I$24*$S$24</f>
        <v>0</v>
      </c>
      <c r="T66" s="26">
        <f>$I$24*$T$24</f>
        <v>0</v>
      </c>
      <c r="U66" s="26">
        <f>$I$24*$U$24</f>
        <v>0</v>
      </c>
      <c r="V66" s="26">
        <f>$I$24*$V$24</f>
        <v>0</v>
      </c>
      <c r="X66" s="26">
        <f>$I$24*$X$24</f>
        <v>0</v>
      </c>
      <c r="Y66" s="26">
        <f>$I$24*$Y$24</f>
        <v>0</v>
      </c>
      <c r="Z66" s="26">
        <f>$I$24*$Z$24</f>
        <v>0</v>
      </c>
      <c r="AA66" s="26">
        <f>$I$24*$AA$24</f>
        <v>0</v>
      </c>
      <c r="AB66" s="26">
        <f>$I$24*$AB$24</f>
        <v>0</v>
      </c>
      <c r="AC66" s="26">
        <f>$I$24*$AC$24</f>
        <v>0</v>
      </c>
      <c r="AD66" s="26">
        <f>$I$24*$AD$24</f>
        <v>0</v>
      </c>
      <c r="AE66" s="26">
        <f>$I$24*$AE$24</f>
        <v>0</v>
      </c>
      <c r="AF66" s="26">
        <f>$I$24*$AF$24</f>
        <v>0</v>
      </c>
      <c r="AG66" s="26">
        <f>$I$24*$AG$24</f>
        <v>0</v>
      </c>
      <c r="AH66" s="26">
        <f>$I$24*$AH$24</f>
        <v>0</v>
      </c>
    </row>
    <row r="67" spans="1:34" ht="11.25" customHeight="1" x14ac:dyDescent="0.25">
      <c r="A67" s="9" t="s">
        <v>31</v>
      </c>
      <c r="B67" s="9" t="s">
        <v>800</v>
      </c>
      <c r="C67" s="9" t="s">
        <v>801</v>
      </c>
      <c r="D67" s="9" t="s">
        <v>814</v>
      </c>
      <c r="E67" s="9" t="s">
        <v>815</v>
      </c>
      <c r="F67" s="9" t="s">
        <v>816</v>
      </c>
      <c r="G67" s="9" t="s">
        <v>818</v>
      </c>
      <c r="L67" s="26">
        <f>$I$25*$L$25</f>
        <v>0</v>
      </c>
      <c r="M67" s="26">
        <f>$I$25*$M$25</f>
        <v>0</v>
      </c>
      <c r="N67" s="26">
        <f>$I$25*$N$25</f>
        <v>0</v>
      </c>
      <c r="O67" s="26">
        <f>$I$25*$O$25</f>
        <v>0</v>
      </c>
      <c r="P67" s="26">
        <f>$I$25*$P$25</f>
        <v>0</v>
      </c>
      <c r="Q67" s="26">
        <f>$I$25*$Q$25</f>
        <v>0</v>
      </c>
      <c r="R67" s="26">
        <f>$I$25*$R$25</f>
        <v>0</v>
      </c>
      <c r="S67" s="26">
        <f>$I$25*$S$25</f>
        <v>0</v>
      </c>
      <c r="T67" s="26">
        <f>$I$25*$T$25</f>
        <v>0</v>
      </c>
      <c r="U67" s="26">
        <f>$I$25*$U$25</f>
        <v>0</v>
      </c>
      <c r="V67" s="26">
        <f>$I$25*$V$25</f>
        <v>0</v>
      </c>
      <c r="X67" s="26">
        <f>$I$25*$X$25</f>
        <v>0</v>
      </c>
      <c r="Y67" s="26">
        <f>$I$25*$Y$25</f>
        <v>0</v>
      </c>
      <c r="Z67" s="26">
        <f>$I$25*$Z$25</f>
        <v>0</v>
      </c>
      <c r="AA67" s="26">
        <f>$I$25*$AA$25</f>
        <v>0</v>
      </c>
      <c r="AB67" s="26">
        <f>$I$25*$AB$25</f>
        <v>0</v>
      </c>
      <c r="AC67" s="26">
        <f>$I$25*$AC$25</f>
        <v>0</v>
      </c>
      <c r="AD67" s="26">
        <f>$I$25*$AD$25</f>
        <v>0</v>
      </c>
      <c r="AE67" s="26">
        <f>$I$25*$AE$25</f>
        <v>0</v>
      </c>
      <c r="AF67" s="26">
        <f>$I$25*$AF$25</f>
        <v>0</v>
      </c>
      <c r="AG67" s="26">
        <f>$I$25*$AG$25</f>
        <v>0</v>
      </c>
      <c r="AH67" s="26">
        <f>$I$25*$AH$25</f>
        <v>0</v>
      </c>
    </row>
    <row r="68" spans="1:34" ht="11.25" customHeight="1" x14ac:dyDescent="0.25">
      <c r="A68" s="9" t="s">
        <v>31</v>
      </c>
      <c r="B68" s="9" t="s">
        <v>800</v>
      </c>
      <c r="C68" s="9" t="s">
        <v>801</v>
      </c>
      <c r="D68" s="9" t="s">
        <v>814</v>
      </c>
      <c r="E68" s="9" t="s">
        <v>815</v>
      </c>
      <c r="F68" s="9" t="s">
        <v>816</v>
      </c>
      <c r="G68" s="9" t="s">
        <v>819</v>
      </c>
      <c r="L68" s="26">
        <f>$I$26*$L$26</f>
        <v>0</v>
      </c>
      <c r="M68" s="26">
        <f>$I$26*$M$26</f>
        <v>0</v>
      </c>
      <c r="N68" s="26">
        <f>$I$26*$N$26</f>
        <v>0</v>
      </c>
      <c r="O68" s="26">
        <f>$I$26*$O$26</f>
        <v>0</v>
      </c>
      <c r="P68" s="26">
        <f>$I$26*$P$26</f>
        <v>0</v>
      </c>
      <c r="Q68" s="26">
        <f>$I$26*$Q$26</f>
        <v>0</v>
      </c>
      <c r="R68" s="26">
        <f>$I$26*$R$26</f>
        <v>0</v>
      </c>
      <c r="S68" s="26">
        <f>$I$26*$S$26</f>
        <v>0</v>
      </c>
      <c r="T68" s="26">
        <f>$I$26*$T$26</f>
        <v>0</v>
      </c>
      <c r="U68" s="26">
        <f>$I$26*$U$26</f>
        <v>0</v>
      </c>
      <c r="V68" s="26">
        <f>$I$26*$V$26</f>
        <v>0</v>
      </c>
      <c r="X68" s="26">
        <f>$I$26*$X$26</f>
        <v>0</v>
      </c>
      <c r="Y68" s="26">
        <f>$I$26*$Y$26</f>
        <v>0</v>
      </c>
      <c r="Z68" s="26">
        <f>$I$26*$Z$26</f>
        <v>0</v>
      </c>
      <c r="AA68" s="26">
        <f>$I$26*$AA$26</f>
        <v>0</v>
      </c>
      <c r="AB68" s="26">
        <f>$I$26*$AB$26</f>
        <v>0</v>
      </c>
      <c r="AC68" s="26">
        <f>$I$26*$AC$26</f>
        <v>0</v>
      </c>
      <c r="AD68" s="26">
        <f>$I$26*$AD$26</f>
        <v>0</v>
      </c>
      <c r="AE68" s="26">
        <f>$I$26*$AE$26</f>
        <v>0</v>
      </c>
      <c r="AF68" s="26">
        <f>$I$26*$AF$26</f>
        <v>0</v>
      </c>
      <c r="AG68" s="26">
        <f>$I$26*$AG$26</f>
        <v>0</v>
      </c>
      <c r="AH68" s="26">
        <f>$I$26*$AH$26</f>
        <v>0</v>
      </c>
    </row>
    <row r="69" spans="1:34" ht="11.25" customHeight="1" x14ac:dyDescent="0.25">
      <c r="A69" s="9" t="s">
        <v>31</v>
      </c>
      <c r="B69" s="9" t="s">
        <v>808</v>
      </c>
      <c r="C69" s="9" t="s">
        <v>809</v>
      </c>
      <c r="D69" s="9" t="s">
        <v>820</v>
      </c>
      <c r="E69" s="9" t="s">
        <v>821</v>
      </c>
      <c r="F69" s="9" t="s">
        <v>822</v>
      </c>
      <c r="G69" s="9" t="s">
        <v>823</v>
      </c>
      <c r="L69" s="26">
        <f>$I$27*$L$27</f>
        <v>0</v>
      </c>
      <c r="M69" s="26">
        <f>$I$27*$M$27</f>
        <v>0</v>
      </c>
      <c r="N69" s="26">
        <f>$I$27*$N$27</f>
        <v>0</v>
      </c>
      <c r="O69" s="26">
        <f>$I$27*$O$27</f>
        <v>0</v>
      </c>
      <c r="P69" s="26">
        <f>$I$27*$P$27</f>
        <v>0</v>
      </c>
      <c r="Q69" s="26">
        <f>$I$27*$Q$27</f>
        <v>0</v>
      </c>
      <c r="R69" s="26">
        <f>$I$27*$R$27</f>
        <v>0</v>
      </c>
      <c r="S69" s="26">
        <f>$I$27*$S$27</f>
        <v>0</v>
      </c>
      <c r="T69" s="26">
        <f>$I$27*$T$27</f>
        <v>0</v>
      </c>
      <c r="U69" s="26">
        <f>$I$27*$U$27</f>
        <v>0</v>
      </c>
      <c r="V69" s="26">
        <f>$I$27*$V$27</f>
        <v>0</v>
      </c>
      <c r="X69" s="26">
        <f>$I$27*$X$27</f>
        <v>0</v>
      </c>
      <c r="Y69" s="26">
        <f>$I$27*$Y$27</f>
        <v>0</v>
      </c>
      <c r="Z69" s="26">
        <f>$I$27*$Z$27</f>
        <v>0</v>
      </c>
      <c r="AA69" s="26">
        <f>$I$27*$AA$27</f>
        <v>0</v>
      </c>
      <c r="AB69" s="26">
        <f>$I$27*$AB$27</f>
        <v>0</v>
      </c>
      <c r="AC69" s="26">
        <f>$I$27*$AC$27</f>
        <v>0</v>
      </c>
      <c r="AD69" s="26">
        <f>$I$27*$AD$27</f>
        <v>0</v>
      </c>
      <c r="AE69" s="26">
        <f>$I$27*$AE$27</f>
        <v>0</v>
      </c>
      <c r="AF69" s="26">
        <f>$I$27*$AF$27</f>
        <v>0</v>
      </c>
      <c r="AG69" s="26">
        <f>$I$27*$AG$27</f>
        <v>0</v>
      </c>
      <c r="AH69" s="26">
        <f>$I$27*$AH$27</f>
        <v>0</v>
      </c>
    </row>
    <row r="70" spans="1:34" ht="11.25" customHeight="1" x14ac:dyDescent="0.25">
      <c r="A70" s="9" t="s">
        <v>31</v>
      </c>
      <c r="B70" s="9" t="s">
        <v>800</v>
      </c>
      <c r="C70" s="9" t="s">
        <v>801</v>
      </c>
      <c r="D70" s="9" t="s">
        <v>824</v>
      </c>
      <c r="E70" s="9" t="s">
        <v>825</v>
      </c>
      <c r="F70" s="9" t="s">
        <v>826</v>
      </c>
      <c r="G70" s="9" t="s">
        <v>827</v>
      </c>
      <c r="L70" s="26">
        <f>$I$28*$L$28</f>
        <v>0</v>
      </c>
      <c r="M70" s="26">
        <f>$I$28*$M$28</f>
        <v>0</v>
      </c>
      <c r="N70" s="26">
        <f>$I$28*$N$28</f>
        <v>0</v>
      </c>
      <c r="O70" s="26">
        <f>$I$28*$O$28</f>
        <v>0</v>
      </c>
      <c r="P70" s="26">
        <f>$I$28*$P$28</f>
        <v>0</v>
      </c>
      <c r="Q70" s="26">
        <f>$I$28*$Q$28</f>
        <v>0</v>
      </c>
      <c r="R70" s="26">
        <f>$I$28*$R$28</f>
        <v>0</v>
      </c>
      <c r="S70" s="26">
        <f>$I$28*$S$28</f>
        <v>0</v>
      </c>
      <c r="T70" s="26">
        <f>$I$28*$T$28</f>
        <v>0</v>
      </c>
      <c r="U70" s="26">
        <f>$I$28*$U$28</f>
        <v>0</v>
      </c>
      <c r="V70" s="26">
        <f>$I$28*$V$28</f>
        <v>0</v>
      </c>
      <c r="X70" s="26">
        <f>$I$28*$X$28</f>
        <v>0</v>
      </c>
      <c r="Y70" s="26">
        <f>$I$28*$Y$28</f>
        <v>0</v>
      </c>
      <c r="Z70" s="26">
        <f>$I$28*$Z$28</f>
        <v>0</v>
      </c>
      <c r="AA70" s="26">
        <f>$I$28*$AA$28</f>
        <v>0</v>
      </c>
      <c r="AB70" s="26">
        <f>$I$28*$AB$28</f>
        <v>0</v>
      </c>
      <c r="AC70" s="26">
        <f>$I$28*$AC$28</f>
        <v>0</v>
      </c>
      <c r="AD70" s="26">
        <f>$I$28*$AD$28</f>
        <v>0</v>
      </c>
      <c r="AE70" s="26">
        <f>$I$28*$AE$28</f>
        <v>0</v>
      </c>
      <c r="AF70" s="26">
        <f>$I$28*$AF$28</f>
        <v>0</v>
      </c>
      <c r="AG70" s="26">
        <f>$I$28*$AG$28</f>
        <v>0</v>
      </c>
      <c r="AH70" s="26">
        <f>$I$28*$AH$28</f>
        <v>0</v>
      </c>
    </row>
    <row r="71" spans="1:34" ht="11.25" customHeight="1" x14ac:dyDescent="0.25">
      <c r="A71" s="9" t="s">
        <v>31</v>
      </c>
      <c r="B71" s="9" t="s">
        <v>800</v>
      </c>
      <c r="C71" s="9" t="s">
        <v>801</v>
      </c>
      <c r="D71" s="9" t="s">
        <v>824</v>
      </c>
      <c r="E71" s="9" t="s">
        <v>825</v>
      </c>
      <c r="F71" s="9" t="s">
        <v>826</v>
      </c>
      <c r="G71" s="9" t="s">
        <v>828</v>
      </c>
      <c r="L71" s="26">
        <f>$I$29*$L$29</f>
        <v>0</v>
      </c>
      <c r="M71" s="26">
        <f>$I$29*$M$29</f>
        <v>0</v>
      </c>
      <c r="N71" s="26">
        <f>$I$29*$N$29</f>
        <v>0</v>
      </c>
      <c r="O71" s="26">
        <f>$I$29*$O$29</f>
        <v>0</v>
      </c>
      <c r="P71" s="26">
        <f>$I$29*$P$29</f>
        <v>0</v>
      </c>
      <c r="Q71" s="26">
        <f>$I$29*$Q$29</f>
        <v>0</v>
      </c>
      <c r="R71" s="26">
        <f>$I$29*$R$29</f>
        <v>0</v>
      </c>
      <c r="S71" s="26">
        <f>$I$29*$S$29</f>
        <v>0</v>
      </c>
      <c r="T71" s="26">
        <f>$I$29*$T$29</f>
        <v>0</v>
      </c>
      <c r="U71" s="26">
        <f>$I$29*$U$29</f>
        <v>0</v>
      </c>
      <c r="V71" s="26">
        <f>$I$29*$V$29</f>
        <v>0</v>
      </c>
      <c r="X71" s="26">
        <f>$I$29*$X$29</f>
        <v>0</v>
      </c>
      <c r="Y71" s="26">
        <f>$I$29*$Y$29</f>
        <v>0</v>
      </c>
      <c r="Z71" s="26">
        <f>$I$29*$Z$29</f>
        <v>0</v>
      </c>
      <c r="AA71" s="26">
        <f>$I$29*$AA$29</f>
        <v>0</v>
      </c>
      <c r="AB71" s="26">
        <f>$I$29*$AB$29</f>
        <v>0</v>
      </c>
      <c r="AC71" s="26">
        <f>$I$29*$AC$29</f>
        <v>0</v>
      </c>
      <c r="AD71" s="26">
        <f>$I$29*$AD$29</f>
        <v>0</v>
      </c>
      <c r="AE71" s="26">
        <f>$I$29*$AE$29</f>
        <v>0</v>
      </c>
      <c r="AF71" s="26">
        <f>$I$29*$AF$29</f>
        <v>0</v>
      </c>
      <c r="AG71" s="26">
        <f>$I$29*$AG$29</f>
        <v>0</v>
      </c>
      <c r="AH71" s="26">
        <f>$I$29*$AH$29</f>
        <v>0</v>
      </c>
    </row>
    <row r="72" spans="1:34" ht="11.25" customHeight="1" x14ac:dyDescent="0.25">
      <c r="A72" s="9" t="s">
        <v>31</v>
      </c>
      <c r="B72" s="9" t="s">
        <v>800</v>
      </c>
      <c r="C72" s="9" t="s">
        <v>801</v>
      </c>
      <c r="D72" s="9" t="s">
        <v>824</v>
      </c>
      <c r="E72" s="9" t="s">
        <v>825</v>
      </c>
      <c r="F72" s="9" t="s">
        <v>826</v>
      </c>
      <c r="G72" s="9" t="s">
        <v>829</v>
      </c>
      <c r="L72" s="26">
        <f>$I$30*$L$30</f>
        <v>0</v>
      </c>
      <c r="M72" s="26">
        <f>$I$30*$M$30</f>
        <v>0</v>
      </c>
      <c r="N72" s="26">
        <f>$I$30*$N$30</f>
        <v>0</v>
      </c>
      <c r="O72" s="26">
        <f>$I$30*$O$30</f>
        <v>0</v>
      </c>
      <c r="P72" s="26">
        <f>$I$30*$P$30</f>
        <v>0</v>
      </c>
      <c r="Q72" s="26">
        <f>$I$30*$Q$30</f>
        <v>0</v>
      </c>
      <c r="R72" s="26">
        <f>$I$30*$R$30</f>
        <v>0</v>
      </c>
      <c r="S72" s="26">
        <f>$I$30*$S$30</f>
        <v>0</v>
      </c>
      <c r="T72" s="26">
        <f>$I$30*$T$30</f>
        <v>0</v>
      </c>
      <c r="U72" s="26">
        <f>$I$30*$U$30</f>
        <v>0</v>
      </c>
      <c r="V72" s="26">
        <f>$I$30*$V$30</f>
        <v>0</v>
      </c>
      <c r="X72" s="26">
        <f>$I$30*$X$30</f>
        <v>0</v>
      </c>
      <c r="Y72" s="26">
        <f>$I$30*$Y$30</f>
        <v>0</v>
      </c>
      <c r="Z72" s="26">
        <f>$I$30*$Z$30</f>
        <v>0</v>
      </c>
      <c r="AA72" s="26">
        <f>$I$30*$AA$30</f>
        <v>0</v>
      </c>
      <c r="AB72" s="26">
        <f>$I$30*$AB$30</f>
        <v>0</v>
      </c>
      <c r="AC72" s="26">
        <f>$I$30*$AC$30</f>
        <v>0</v>
      </c>
      <c r="AD72" s="26">
        <f>$I$30*$AD$30</f>
        <v>0</v>
      </c>
      <c r="AE72" s="26">
        <f>$I$30*$AE$30</f>
        <v>0</v>
      </c>
      <c r="AF72" s="26">
        <f>$I$30*$AF$30</f>
        <v>0</v>
      </c>
      <c r="AG72" s="26">
        <f>$I$30*$AG$30</f>
        <v>0</v>
      </c>
      <c r="AH72" s="26">
        <f>$I$30*$AH$30</f>
        <v>0</v>
      </c>
    </row>
    <row r="73" spans="1:34" ht="11.25" customHeight="1" x14ac:dyDescent="0.25">
      <c r="A73" s="9" t="s">
        <v>31</v>
      </c>
      <c r="B73" s="9" t="s">
        <v>808</v>
      </c>
      <c r="C73" s="9" t="s">
        <v>809</v>
      </c>
      <c r="D73" s="9" t="s">
        <v>830</v>
      </c>
      <c r="E73" s="9" t="s">
        <v>831</v>
      </c>
      <c r="F73" s="9" t="s">
        <v>832</v>
      </c>
      <c r="G73" s="9" t="s">
        <v>833</v>
      </c>
      <c r="L73" s="26">
        <f>$I$31*$L$31</f>
        <v>0</v>
      </c>
      <c r="M73" s="26">
        <f>$I$31*$M$31</f>
        <v>0</v>
      </c>
      <c r="N73" s="26">
        <f>$I$31*$N$31</f>
        <v>0</v>
      </c>
      <c r="O73" s="26">
        <f>$I$31*$O$31</f>
        <v>0</v>
      </c>
      <c r="P73" s="26">
        <f>$I$31*$P$31</f>
        <v>0</v>
      </c>
      <c r="Q73" s="26">
        <f>$I$31*$Q$31</f>
        <v>0</v>
      </c>
      <c r="R73" s="26">
        <f>$I$31*$R$31</f>
        <v>0</v>
      </c>
      <c r="S73" s="26">
        <f>$I$31*$S$31</f>
        <v>0</v>
      </c>
      <c r="T73" s="26">
        <f>$I$31*$T$31</f>
        <v>0</v>
      </c>
      <c r="U73" s="26">
        <f>$I$31*$U$31</f>
        <v>0</v>
      </c>
      <c r="V73" s="26">
        <f>$I$31*$V$31</f>
        <v>0</v>
      </c>
      <c r="X73" s="26">
        <f>$I$31*$X$31</f>
        <v>0</v>
      </c>
      <c r="Y73" s="26">
        <f>$I$31*$Y$31</f>
        <v>0</v>
      </c>
      <c r="Z73" s="26">
        <f>$I$31*$Z$31</f>
        <v>0</v>
      </c>
      <c r="AA73" s="26">
        <f>$I$31*$AA$31</f>
        <v>0</v>
      </c>
      <c r="AB73" s="26">
        <f>$I$31*$AB$31</f>
        <v>0</v>
      </c>
      <c r="AC73" s="26">
        <f>$I$31*$AC$31</f>
        <v>0</v>
      </c>
      <c r="AD73" s="26">
        <f>$I$31*$AD$31</f>
        <v>0</v>
      </c>
      <c r="AE73" s="26">
        <f>$I$31*$AE$31</f>
        <v>0</v>
      </c>
      <c r="AF73" s="26">
        <f>$I$31*$AF$31</f>
        <v>0</v>
      </c>
      <c r="AG73" s="26">
        <f>$I$31*$AG$31</f>
        <v>0</v>
      </c>
      <c r="AH73" s="26">
        <f>$I$31*$AH$31</f>
        <v>0</v>
      </c>
    </row>
    <row r="74" spans="1:34" ht="11.25" customHeight="1" x14ac:dyDescent="0.25">
      <c r="A74" s="9" t="s">
        <v>31</v>
      </c>
      <c r="B74" s="9" t="s">
        <v>834</v>
      </c>
      <c r="C74" s="9" t="s">
        <v>835</v>
      </c>
      <c r="D74" s="9" t="s">
        <v>836</v>
      </c>
      <c r="E74" s="9" t="s">
        <v>837</v>
      </c>
      <c r="F74" s="9" t="s">
        <v>838</v>
      </c>
      <c r="G74" s="9" t="s">
        <v>839</v>
      </c>
      <c r="L74" s="26">
        <f>$I$32*$L$32</f>
        <v>0</v>
      </c>
      <c r="M74" s="26">
        <f>$I$32*$M$32</f>
        <v>0</v>
      </c>
      <c r="N74" s="26">
        <f>$I$32*$N$32</f>
        <v>0</v>
      </c>
      <c r="O74" s="26">
        <f>$I$32*$O$32</f>
        <v>0</v>
      </c>
      <c r="P74" s="26">
        <f>$I$32*$P$32</f>
        <v>0</v>
      </c>
      <c r="Q74" s="26">
        <f>$I$32*$Q$32</f>
        <v>0</v>
      </c>
      <c r="R74" s="26">
        <f>$I$32*$R$32</f>
        <v>0</v>
      </c>
      <c r="S74" s="26">
        <f>$I$32*$S$32</f>
        <v>0</v>
      </c>
      <c r="T74" s="26">
        <f>$I$32*$T$32</f>
        <v>0</v>
      </c>
      <c r="U74" s="26">
        <f>$I$32*$U$32</f>
        <v>0</v>
      </c>
      <c r="V74" s="26">
        <f>$I$32*$V$32</f>
        <v>0</v>
      </c>
      <c r="X74" s="26">
        <f>$I$32*$X$32</f>
        <v>0</v>
      </c>
      <c r="Y74" s="26">
        <f>$I$32*$Y$32</f>
        <v>0</v>
      </c>
      <c r="Z74" s="26">
        <f>$I$32*$Z$32</f>
        <v>0</v>
      </c>
      <c r="AA74" s="26">
        <f>$I$32*$AA$32</f>
        <v>0</v>
      </c>
      <c r="AB74" s="26">
        <f>$I$32*$AB$32</f>
        <v>0</v>
      </c>
      <c r="AC74" s="26">
        <f>$I$32*$AC$32</f>
        <v>0</v>
      </c>
      <c r="AD74" s="26">
        <f>$I$32*$AD$32</f>
        <v>0</v>
      </c>
      <c r="AE74" s="26">
        <f>$I$32*$AE$32</f>
        <v>0</v>
      </c>
      <c r="AF74" s="26">
        <f>$I$32*$AF$32</f>
        <v>0</v>
      </c>
      <c r="AG74" s="26">
        <f>$I$32*$AG$32</f>
        <v>0</v>
      </c>
      <c r="AH74" s="26">
        <f>$I$32*$AH$32</f>
        <v>0</v>
      </c>
    </row>
    <row r="75" spans="1:34" ht="11.25" customHeight="1" x14ac:dyDescent="0.25">
      <c r="A75" s="9" t="s">
        <v>31</v>
      </c>
      <c r="B75" s="9" t="s">
        <v>834</v>
      </c>
      <c r="C75" s="9" t="s">
        <v>835</v>
      </c>
      <c r="D75" s="9" t="s">
        <v>840</v>
      </c>
      <c r="E75" s="9" t="s">
        <v>841</v>
      </c>
      <c r="F75" s="9" t="s">
        <v>842</v>
      </c>
      <c r="G75" s="9" t="s">
        <v>843</v>
      </c>
      <c r="L75" s="26">
        <f>$I$33*$L$33</f>
        <v>0</v>
      </c>
      <c r="M75" s="26">
        <f>$I$33*$M$33</f>
        <v>0</v>
      </c>
      <c r="N75" s="26">
        <f>$I$33*$N$33</f>
        <v>0</v>
      </c>
      <c r="O75" s="26">
        <f>$I$33*$O$33</f>
        <v>0</v>
      </c>
      <c r="P75" s="26">
        <f>$I$33*$P$33</f>
        <v>0</v>
      </c>
      <c r="Q75" s="26">
        <f>$I$33*$Q$33</f>
        <v>0</v>
      </c>
      <c r="R75" s="26">
        <f>$I$33*$R$33</f>
        <v>0</v>
      </c>
      <c r="S75" s="26">
        <f>$I$33*$S$33</f>
        <v>0</v>
      </c>
      <c r="T75" s="26">
        <f>$I$33*$T$33</f>
        <v>0</v>
      </c>
      <c r="U75" s="26">
        <f>$I$33*$U$33</f>
        <v>0</v>
      </c>
      <c r="V75" s="26">
        <f>$I$33*$V$33</f>
        <v>0</v>
      </c>
      <c r="X75" s="26">
        <f>$I$33*$X$33</f>
        <v>0</v>
      </c>
      <c r="Y75" s="26">
        <f>$I$33*$Y$33</f>
        <v>0</v>
      </c>
      <c r="Z75" s="26">
        <f>$I$33*$Z$33</f>
        <v>0</v>
      </c>
      <c r="AA75" s="26">
        <f>$I$33*$AA$33</f>
        <v>0</v>
      </c>
      <c r="AB75" s="26">
        <f>$I$33*$AB$33</f>
        <v>0</v>
      </c>
      <c r="AC75" s="26">
        <f>$I$33*$AC$33</f>
        <v>0</v>
      </c>
      <c r="AD75" s="26">
        <f>$I$33*$AD$33</f>
        <v>0</v>
      </c>
      <c r="AE75" s="26">
        <f>$I$33*$AE$33</f>
        <v>0</v>
      </c>
      <c r="AF75" s="26">
        <f>$I$33*$AF$33</f>
        <v>0</v>
      </c>
      <c r="AG75" s="26">
        <f>$I$33*$AG$33</f>
        <v>0</v>
      </c>
      <c r="AH75" s="26">
        <f>$I$33*$AH$33</f>
        <v>0</v>
      </c>
    </row>
    <row r="76" spans="1:34" ht="11.25" customHeight="1" x14ac:dyDescent="0.25">
      <c r="A76" s="9" t="s">
        <v>31</v>
      </c>
      <c r="B76" s="9" t="s">
        <v>834</v>
      </c>
      <c r="C76" s="9" t="s">
        <v>835</v>
      </c>
      <c r="D76" s="9" t="s">
        <v>844</v>
      </c>
      <c r="E76" s="9" t="s">
        <v>845</v>
      </c>
      <c r="F76" s="9" t="s">
        <v>846</v>
      </c>
      <c r="G76" s="9" t="s">
        <v>847</v>
      </c>
      <c r="L76" s="26">
        <f>$I$34*$L$34</f>
        <v>0</v>
      </c>
      <c r="M76" s="26">
        <f>$I$34*$M$34</f>
        <v>0</v>
      </c>
      <c r="N76" s="26">
        <f>$I$34*$N$34</f>
        <v>0</v>
      </c>
      <c r="O76" s="26">
        <f>$I$34*$O$34</f>
        <v>0</v>
      </c>
      <c r="P76" s="26">
        <f>$I$34*$P$34</f>
        <v>0</v>
      </c>
      <c r="Q76" s="26">
        <f>$I$34*$Q$34</f>
        <v>0</v>
      </c>
      <c r="R76" s="26">
        <f>$I$34*$R$34</f>
        <v>0</v>
      </c>
      <c r="S76" s="26">
        <f>$I$34*$S$34</f>
        <v>0</v>
      </c>
      <c r="T76" s="26">
        <f>$I$34*$T$34</f>
        <v>0</v>
      </c>
      <c r="U76" s="26">
        <f>$I$34*$U$34</f>
        <v>0</v>
      </c>
      <c r="V76" s="26">
        <f>$I$34*$V$34</f>
        <v>0</v>
      </c>
      <c r="X76" s="26">
        <f>$I$34*$X$34</f>
        <v>0</v>
      </c>
      <c r="Y76" s="26">
        <f>$I$34*$Y$34</f>
        <v>0</v>
      </c>
      <c r="Z76" s="26">
        <f>$I$34*$Z$34</f>
        <v>0</v>
      </c>
      <c r="AA76" s="26">
        <f>$I$34*$AA$34</f>
        <v>0</v>
      </c>
      <c r="AB76" s="26">
        <f>$I$34*$AB$34</f>
        <v>0</v>
      </c>
      <c r="AC76" s="26">
        <f>$I$34*$AC$34</f>
        <v>0</v>
      </c>
      <c r="AD76" s="26">
        <f>$I$34*$AD$34</f>
        <v>0</v>
      </c>
      <c r="AE76" s="26">
        <f>$I$34*$AE$34</f>
        <v>0</v>
      </c>
      <c r="AF76" s="26">
        <f>$I$34*$AF$34</f>
        <v>0</v>
      </c>
      <c r="AG76" s="26">
        <f>$I$34*$AG$34</f>
        <v>0</v>
      </c>
      <c r="AH76" s="26">
        <f>$I$34*$AH$34</f>
        <v>0</v>
      </c>
    </row>
    <row r="77" spans="1:34" ht="11.25" customHeight="1" x14ac:dyDescent="0.25">
      <c r="A77" s="9" t="s">
        <v>28</v>
      </c>
      <c r="B77" s="9" t="s">
        <v>848</v>
      </c>
      <c r="C77" s="9" t="s">
        <v>849</v>
      </c>
      <c r="D77" s="9" t="s">
        <v>850</v>
      </c>
      <c r="E77" s="9" t="s">
        <v>851</v>
      </c>
      <c r="F77" s="9" t="s">
        <v>852</v>
      </c>
      <c r="G77" s="9" t="s">
        <v>853</v>
      </c>
      <c r="L77" s="26">
        <f>$I$35*$L$35</f>
        <v>0</v>
      </c>
      <c r="M77" s="26">
        <f>$I$35*$M$35</f>
        <v>0</v>
      </c>
      <c r="N77" s="26">
        <f>$I$35*$N$35</f>
        <v>0</v>
      </c>
      <c r="O77" s="26">
        <f>$I$35*$O$35</f>
        <v>0</v>
      </c>
      <c r="P77" s="26">
        <f>$I$35*$P$35</f>
        <v>0</v>
      </c>
      <c r="Q77" s="26">
        <f>$I$35*$Q$35</f>
        <v>0</v>
      </c>
      <c r="R77" s="26">
        <f>$I$35*$R$35</f>
        <v>0</v>
      </c>
      <c r="S77" s="26">
        <f>$I$35*$S$35</f>
        <v>0</v>
      </c>
      <c r="T77" s="26">
        <f>$I$35*$T$35</f>
        <v>0</v>
      </c>
      <c r="U77" s="26">
        <f>$I$35*$U$35</f>
        <v>0</v>
      </c>
      <c r="V77" s="26">
        <f>$I$35*$V$35</f>
        <v>0</v>
      </c>
      <c r="X77" s="26">
        <f>$I$35*$X$35</f>
        <v>0</v>
      </c>
      <c r="Y77" s="26">
        <f>$I$35*$Y$35</f>
        <v>0</v>
      </c>
      <c r="Z77" s="26">
        <f>$I$35*$Z$35</f>
        <v>0</v>
      </c>
      <c r="AA77" s="26">
        <f>$I$35*$AA$35</f>
        <v>0</v>
      </c>
      <c r="AB77" s="26">
        <f>$I$35*$AB$35</f>
        <v>0</v>
      </c>
      <c r="AC77" s="26">
        <f>$I$35*$AC$35</f>
        <v>0</v>
      </c>
      <c r="AD77" s="26">
        <f>$I$35*$AD$35</f>
        <v>0</v>
      </c>
      <c r="AE77" s="26">
        <f>$I$35*$AE$35</f>
        <v>0</v>
      </c>
      <c r="AF77" s="26">
        <f>$I$35*$AF$35</f>
        <v>0</v>
      </c>
      <c r="AG77" s="26">
        <f>$I$35*$AG$35</f>
        <v>0</v>
      </c>
      <c r="AH77" s="26">
        <f>$I$35*$AH$35</f>
        <v>0</v>
      </c>
    </row>
    <row r="78" spans="1:34" ht="11.25" customHeight="1" x14ac:dyDescent="0.25">
      <c r="A78" s="9" t="s">
        <v>28</v>
      </c>
      <c r="B78" s="9" t="s">
        <v>848</v>
      </c>
      <c r="C78" s="9" t="s">
        <v>849</v>
      </c>
      <c r="D78" s="9" t="s">
        <v>850</v>
      </c>
      <c r="E78" s="9" t="s">
        <v>851</v>
      </c>
      <c r="F78" s="9" t="s">
        <v>852</v>
      </c>
      <c r="G78" s="9" t="s">
        <v>854</v>
      </c>
      <c r="L78" s="26">
        <f>$I$36*$L$36</f>
        <v>0</v>
      </c>
      <c r="M78" s="26">
        <f>$I$36*$M$36</f>
        <v>0</v>
      </c>
      <c r="N78" s="26">
        <f>$I$36*$N$36</f>
        <v>0</v>
      </c>
      <c r="O78" s="26">
        <f>$I$36*$O$36</f>
        <v>0</v>
      </c>
      <c r="P78" s="26">
        <f>$I$36*$P$36</f>
        <v>0</v>
      </c>
      <c r="Q78" s="26">
        <f>$I$36*$Q$36</f>
        <v>0</v>
      </c>
      <c r="R78" s="26">
        <f>$I$36*$R$36</f>
        <v>0</v>
      </c>
      <c r="S78" s="26">
        <f>$I$36*$S$36</f>
        <v>0</v>
      </c>
      <c r="T78" s="26">
        <f>$I$36*$T$36</f>
        <v>0</v>
      </c>
      <c r="U78" s="26">
        <f>$I$36*$U$36</f>
        <v>0</v>
      </c>
      <c r="V78" s="26">
        <f>$I$36*$V$36</f>
        <v>0</v>
      </c>
      <c r="X78" s="26">
        <f>$I$36*$X$36</f>
        <v>0</v>
      </c>
      <c r="Y78" s="26">
        <f>$I$36*$Y$36</f>
        <v>0</v>
      </c>
      <c r="Z78" s="26">
        <f>$I$36*$Z$36</f>
        <v>0</v>
      </c>
      <c r="AA78" s="26">
        <f>$I$36*$AA$36</f>
        <v>0</v>
      </c>
      <c r="AB78" s="26">
        <f>$I$36*$AB$36</f>
        <v>0</v>
      </c>
      <c r="AC78" s="26">
        <f>$I$36*$AC$36</f>
        <v>0</v>
      </c>
      <c r="AD78" s="26">
        <f>$I$36*$AD$36</f>
        <v>0</v>
      </c>
      <c r="AE78" s="26">
        <f>$I$36*$AE$36</f>
        <v>0</v>
      </c>
      <c r="AF78" s="26">
        <f>$I$36*$AF$36</f>
        <v>0</v>
      </c>
      <c r="AG78" s="26">
        <f>$I$36*$AG$36</f>
        <v>0</v>
      </c>
      <c r="AH78" s="26">
        <f>$I$36*$AH$36</f>
        <v>0</v>
      </c>
    </row>
    <row r="79" spans="1:34" ht="11.25" customHeight="1" x14ac:dyDescent="0.25">
      <c r="A79" s="9" t="s">
        <v>28</v>
      </c>
      <c r="B79" s="9" t="s">
        <v>848</v>
      </c>
      <c r="C79" s="9" t="s">
        <v>849</v>
      </c>
      <c r="D79" s="9" t="s">
        <v>850</v>
      </c>
      <c r="E79" s="9" t="s">
        <v>851</v>
      </c>
      <c r="F79" s="9" t="s">
        <v>852</v>
      </c>
      <c r="G79" s="9" t="s">
        <v>855</v>
      </c>
      <c r="L79" s="26">
        <f>$I$37*$L$37</f>
        <v>0</v>
      </c>
      <c r="M79" s="26">
        <f>$I$37*$M$37</f>
        <v>0</v>
      </c>
      <c r="N79" s="26">
        <f>$I$37*$N$37</f>
        <v>0</v>
      </c>
      <c r="O79" s="26">
        <f>$I$37*$O$37</f>
        <v>0</v>
      </c>
      <c r="P79" s="26">
        <f>$I$37*$P$37</f>
        <v>0</v>
      </c>
      <c r="Q79" s="26">
        <f>$I$37*$Q$37</f>
        <v>0</v>
      </c>
      <c r="R79" s="26">
        <f>$I$37*$R$37</f>
        <v>0</v>
      </c>
      <c r="S79" s="26">
        <f>$I$37*$S$37</f>
        <v>0</v>
      </c>
      <c r="T79" s="26">
        <f>$I$37*$T$37</f>
        <v>0</v>
      </c>
      <c r="U79" s="26">
        <f>$I$37*$U$37</f>
        <v>0</v>
      </c>
      <c r="V79" s="26">
        <f>$I$37*$V$37</f>
        <v>0</v>
      </c>
      <c r="X79" s="26">
        <f>$I$37*$X$37</f>
        <v>0</v>
      </c>
      <c r="Y79" s="26">
        <f>$I$37*$Y$37</f>
        <v>0</v>
      </c>
      <c r="Z79" s="26">
        <f>$I$37*$Z$37</f>
        <v>0</v>
      </c>
      <c r="AA79" s="26">
        <f>$I$37*$AA$37</f>
        <v>0</v>
      </c>
      <c r="AB79" s="26">
        <f>$I$37*$AB$37</f>
        <v>0</v>
      </c>
      <c r="AC79" s="26">
        <f>$I$37*$AC$37</f>
        <v>0</v>
      </c>
      <c r="AD79" s="26">
        <f>$I$37*$AD$37</f>
        <v>0</v>
      </c>
      <c r="AE79" s="26">
        <f>$I$37*$AE$37</f>
        <v>0</v>
      </c>
      <c r="AF79" s="26">
        <f>$I$37*$AF$37</f>
        <v>0</v>
      </c>
      <c r="AG79" s="26">
        <f>$I$37*$AG$37</f>
        <v>0</v>
      </c>
      <c r="AH79" s="26">
        <f>$I$37*$AH$37</f>
        <v>0</v>
      </c>
    </row>
    <row r="80" spans="1:34" ht="11.25" customHeight="1" x14ac:dyDescent="0.25">
      <c r="A80" s="9" t="s">
        <v>28</v>
      </c>
      <c r="B80" s="9" t="s">
        <v>856</v>
      </c>
      <c r="C80" s="9" t="s">
        <v>857</v>
      </c>
      <c r="D80" s="9" t="s">
        <v>858</v>
      </c>
      <c r="E80" s="9" t="s">
        <v>859</v>
      </c>
      <c r="F80" s="9" t="s">
        <v>860</v>
      </c>
      <c r="G80" s="9" t="s">
        <v>861</v>
      </c>
      <c r="L80" s="26">
        <f>$I$38*$L$38</f>
        <v>0</v>
      </c>
      <c r="M80" s="26">
        <f>$I$38*$M$38</f>
        <v>0</v>
      </c>
      <c r="N80" s="26">
        <f>$I$38*$N$38</f>
        <v>0</v>
      </c>
      <c r="O80" s="26">
        <f>$I$38*$O$38</f>
        <v>0</v>
      </c>
      <c r="P80" s="26">
        <f>$I$38*$P$38</f>
        <v>0</v>
      </c>
      <c r="Q80" s="26">
        <f>$I$38*$Q$38</f>
        <v>634207.19162543968</v>
      </c>
      <c r="R80" s="26">
        <f>$I$38*$R$38</f>
        <v>0</v>
      </c>
      <c r="S80" s="26">
        <f>$I$38*$S$38</f>
        <v>0</v>
      </c>
      <c r="T80" s="26">
        <f>$I$38*$T$38</f>
        <v>0</v>
      </c>
      <c r="U80" s="26">
        <f>$I$38*$U$38</f>
        <v>0</v>
      </c>
      <c r="V80" s="26">
        <f>$I$38*$V$38</f>
        <v>0</v>
      </c>
      <c r="X80" s="26">
        <f>$I$38*$X$38</f>
        <v>0</v>
      </c>
      <c r="Y80" s="26">
        <f>$I$38*$Y$38</f>
        <v>0</v>
      </c>
      <c r="Z80" s="26">
        <f>$I$38*$Z$38</f>
        <v>0</v>
      </c>
      <c r="AA80" s="26">
        <f>$I$38*$AA$38</f>
        <v>0</v>
      </c>
      <c r="AB80" s="26">
        <f>$I$38*$AB$38</f>
        <v>0</v>
      </c>
      <c r="AC80" s="26">
        <f>$I$38*$AC$38</f>
        <v>819051.7713695264</v>
      </c>
      <c r="AD80" s="26">
        <f>$I$38*$AD$38</f>
        <v>0</v>
      </c>
      <c r="AE80" s="26">
        <f>$I$38*$AE$38</f>
        <v>0</v>
      </c>
      <c r="AF80" s="26">
        <f>$I$38*$AF$38</f>
        <v>0</v>
      </c>
      <c r="AG80" s="26">
        <f>$I$38*$AG$38</f>
        <v>0</v>
      </c>
      <c r="AH80" s="26">
        <f>$I$38*$AH$38</f>
        <v>0</v>
      </c>
    </row>
    <row r="81" spans="1:34" ht="11.25" customHeight="1" x14ac:dyDescent="0.25">
      <c r="A81" s="9" t="s">
        <v>28</v>
      </c>
      <c r="B81" s="9" t="s">
        <v>862</v>
      </c>
      <c r="C81" s="9" t="s">
        <v>863</v>
      </c>
      <c r="D81" s="9" t="s">
        <v>864</v>
      </c>
      <c r="E81" s="9" t="s">
        <v>865</v>
      </c>
      <c r="F81" s="9" t="s">
        <v>866</v>
      </c>
      <c r="G81" s="9" t="s">
        <v>867</v>
      </c>
      <c r="L81" s="26">
        <f>$I$39*$L$39</f>
        <v>0</v>
      </c>
      <c r="M81" s="26">
        <f>$I$39*$M$39</f>
        <v>0</v>
      </c>
      <c r="N81" s="26">
        <f>$I$39*$N$39</f>
        <v>0</v>
      </c>
      <c r="O81" s="26">
        <f>$I$39*$O$39</f>
        <v>0</v>
      </c>
      <c r="P81" s="26">
        <f>$I$39*$P$39</f>
        <v>0</v>
      </c>
      <c r="Q81" s="26">
        <f>$I$39*$Q$39</f>
        <v>0</v>
      </c>
      <c r="R81" s="26">
        <f>$I$39*$R$39</f>
        <v>0</v>
      </c>
      <c r="S81" s="26">
        <f>$I$39*$S$39</f>
        <v>0</v>
      </c>
      <c r="T81" s="26">
        <f>$I$39*$T$39</f>
        <v>0</v>
      </c>
      <c r="U81" s="26">
        <f>$I$39*$U$39</f>
        <v>0</v>
      </c>
      <c r="V81" s="26">
        <f>$I$39*$V$39</f>
        <v>0</v>
      </c>
      <c r="X81" s="26">
        <f>$I$39*$X$39</f>
        <v>0</v>
      </c>
      <c r="Y81" s="26">
        <f>$I$39*$Y$39</f>
        <v>0</v>
      </c>
      <c r="Z81" s="26">
        <f>$I$39*$Z$39</f>
        <v>0</v>
      </c>
      <c r="AA81" s="26">
        <f>$I$39*$AA$39</f>
        <v>0</v>
      </c>
      <c r="AB81" s="26">
        <f>$I$39*$AB$39</f>
        <v>0</v>
      </c>
      <c r="AC81" s="26">
        <f>$I$39*$AC$39</f>
        <v>0</v>
      </c>
      <c r="AD81" s="26">
        <f>$I$39*$AD$39</f>
        <v>0</v>
      </c>
      <c r="AE81" s="26">
        <f>$I$39*$AE$39</f>
        <v>0</v>
      </c>
      <c r="AF81" s="26">
        <f>$I$39*$AF$39</f>
        <v>0</v>
      </c>
      <c r="AG81" s="26">
        <f>$I$39*$AG$39</f>
        <v>0</v>
      </c>
      <c r="AH81" s="26">
        <f>$I$39*$AH$39</f>
        <v>0</v>
      </c>
    </row>
    <row r="82" spans="1:34" ht="11.25" customHeight="1" x14ac:dyDescent="0.25">
      <c r="A82" s="9" t="s">
        <v>34</v>
      </c>
      <c r="B82" s="9" t="s">
        <v>868</v>
      </c>
      <c r="C82" s="9" t="s">
        <v>869</v>
      </c>
      <c r="D82" s="9" t="s">
        <v>870</v>
      </c>
      <c r="E82" s="9" t="s">
        <v>871</v>
      </c>
      <c r="F82" s="9" t="s">
        <v>872</v>
      </c>
      <c r="G82" s="9" t="s">
        <v>873</v>
      </c>
      <c r="L82" s="26">
        <f>$I$40*$L$40</f>
        <v>0</v>
      </c>
      <c r="M82" s="26">
        <f>$I$40*$M$40</f>
        <v>0</v>
      </c>
      <c r="N82" s="26">
        <f>$I$40*$N$40</f>
        <v>0</v>
      </c>
      <c r="O82" s="26">
        <f>$I$40*$O$40</f>
        <v>0</v>
      </c>
      <c r="P82" s="26">
        <f>$I$40*$P$40</f>
        <v>0</v>
      </c>
      <c r="Q82" s="26">
        <f>$I$40*$Q$40</f>
        <v>28983.912828545206</v>
      </c>
      <c r="R82" s="26">
        <f>$I$40*$R$40</f>
        <v>0</v>
      </c>
      <c r="S82" s="26">
        <f>$I$40*$S$40</f>
        <v>0</v>
      </c>
      <c r="T82" s="26">
        <f>$I$40*$T$40</f>
        <v>0</v>
      </c>
      <c r="U82" s="26">
        <f>$I$40*$U$40</f>
        <v>0</v>
      </c>
      <c r="V82" s="26">
        <f>$I$40*$V$40</f>
        <v>0</v>
      </c>
      <c r="X82" s="26">
        <f>$I$40*$X$40</f>
        <v>0</v>
      </c>
      <c r="Y82" s="26">
        <f>$I$40*$Y$40</f>
        <v>0</v>
      </c>
      <c r="Z82" s="26">
        <f>$I$40*$Z$40</f>
        <v>0</v>
      </c>
      <c r="AA82" s="26">
        <f>$I$40*$AA$40</f>
        <v>0</v>
      </c>
      <c r="AB82" s="26">
        <f>$I$40*$AB$40</f>
        <v>0</v>
      </c>
      <c r="AC82" s="26">
        <f>$I$40*$AC$40</f>
        <v>37431.497871535015</v>
      </c>
      <c r="AD82" s="26">
        <f>$I$40*$AD$40</f>
        <v>0</v>
      </c>
      <c r="AE82" s="26">
        <f>$I$40*$AE$40</f>
        <v>0</v>
      </c>
      <c r="AF82" s="26">
        <f>$I$40*$AF$40</f>
        <v>0</v>
      </c>
      <c r="AG82" s="26">
        <f>$I$40*$AG$40</f>
        <v>0</v>
      </c>
      <c r="AH82" s="26">
        <f>$I$40*$AH$40</f>
        <v>0</v>
      </c>
    </row>
    <row r="83" spans="1:34" ht="11.25" customHeight="1" x14ac:dyDescent="0.25">
      <c r="A83" s="9" t="s">
        <v>34</v>
      </c>
      <c r="B83" s="9" t="s">
        <v>868</v>
      </c>
      <c r="C83" s="9" t="s">
        <v>869</v>
      </c>
      <c r="D83" s="9" t="s">
        <v>874</v>
      </c>
      <c r="E83" s="9" t="s">
        <v>875</v>
      </c>
      <c r="F83" s="9" t="s">
        <v>876</v>
      </c>
      <c r="G83" s="9" t="s">
        <v>877</v>
      </c>
      <c r="L83" s="26">
        <f>$I$41*$L$41</f>
        <v>0</v>
      </c>
      <c r="M83" s="26">
        <f>$I$41*$M$41</f>
        <v>0</v>
      </c>
      <c r="N83" s="26">
        <f>$I$41*$N$41</f>
        <v>0</v>
      </c>
      <c r="O83" s="26">
        <f>$I$41*$O$41</f>
        <v>0</v>
      </c>
      <c r="P83" s="26">
        <f>$I$41*$P$41</f>
        <v>0</v>
      </c>
      <c r="Q83" s="26">
        <f>$I$41*$Q$41</f>
        <v>0</v>
      </c>
      <c r="R83" s="26">
        <f>$I$41*$R$41</f>
        <v>0</v>
      </c>
      <c r="S83" s="26">
        <f>$I$41*$S$41</f>
        <v>0</v>
      </c>
      <c r="T83" s="26">
        <f>$I$41*$T$41</f>
        <v>0</v>
      </c>
      <c r="U83" s="26">
        <f>$I$41*$U$41</f>
        <v>0</v>
      </c>
      <c r="V83" s="26">
        <f>$I$41*$V$41</f>
        <v>0</v>
      </c>
      <c r="X83" s="26">
        <f>$I$41*$X$41</f>
        <v>0</v>
      </c>
      <c r="Y83" s="26">
        <f>$I$41*$Y$41</f>
        <v>0</v>
      </c>
      <c r="Z83" s="26">
        <f>$I$41*$Z$41</f>
        <v>0</v>
      </c>
      <c r="AA83" s="26">
        <f>$I$41*$AA$41</f>
        <v>0</v>
      </c>
      <c r="AB83" s="26">
        <f>$I$41*$AB$41</f>
        <v>0</v>
      </c>
      <c r="AC83" s="26">
        <f>$I$41*$AC$41</f>
        <v>0</v>
      </c>
      <c r="AD83" s="26">
        <f>$I$41*$AD$41</f>
        <v>0</v>
      </c>
      <c r="AE83" s="26">
        <f>$I$41*$AE$41</f>
        <v>0</v>
      </c>
      <c r="AF83" s="26">
        <f>$I$41*$AF$41</f>
        <v>0</v>
      </c>
      <c r="AG83" s="26">
        <f>$I$41*$AG$41</f>
        <v>0</v>
      </c>
      <c r="AH83" s="26">
        <f>$I$41*$AH$41</f>
        <v>0</v>
      </c>
    </row>
  </sheetData>
  <mergeCells count="69">
    <mergeCell ref="F1:F4"/>
    <mergeCell ref="A1:A4"/>
    <mergeCell ref="B1:B4"/>
    <mergeCell ref="C1:C4"/>
    <mergeCell ref="D1:D4"/>
    <mergeCell ref="E1:E4"/>
    <mergeCell ref="H1:H4"/>
    <mergeCell ref="I1:I4"/>
    <mergeCell ref="J1:J4"/>
    <mergeCell ref="L1:V1"/>
    <mergeCell ref="L2:V2"/>
    <mergeCell ref="L3:P3"/>
    <mergeCell ref="R3:T3"/>
    <mergeCell ref="A5:A6"/>
    <mergeCell ref="B5:B6"/>
    <mergeCell ref="C5:C6"/>
    <mergeCell ref="D5:D6"/>
    <mergeCell ref="E5:E6"/>
    <mergeCell ref="A7:A19"/>
    <mergeCell ref="B7:B9"/>
    <mergeCell ref="C7:C9"/>
    <mergeCell ref="D7:D9"/>
    <mergeCell ref="E7:E9"/>
    <mergeCell ref="B10:B14"/>
    <mergeCell ref="C10:C14"/>
    <mergeCell ref="B15:B19"/>
    <mergeCell ref="C15:C19"/>
    <mergeCell ref="A20:A34"/>
    <mergeCell ref="B20:B22"/>
    <mergeCell ref="C20:C22"/>
    <mergeCell ref="D20:D22"/>
    <mergeCell ref="E20:E22"/>
    <mergeCell ref="B24:B26"/>
    <mergeCell ref="C24:C26"/>
    <mergeCell ref="D24:D26"/>
    <mergeCell ref="E24:E26"/>
    <mergeCell ref="X1:AH1"/>
    <mergeCell ref="X2:AH2"/>
    <mergeCell ref="X3:AB3"/>
    <mergeCell ref="AD3:AF3"/>
    <mergeCell ref="B32:B34"/>
    <mergeCell ref="C32:C34"/>
    <mergeCell ref="F24:F26"/>
    <mergeCell ref="B28:B30"/>
    <mergeCell ref="C28:C30"/>
    <mergeCell ref="D28:D30"/>
    <mergeCell ref="E28:E30"/>
    <mergeCell ref="F28:F30"/>
    <mergeCell ref="F20:F22"/>
    <mergeCell ref="F7:F9"/>
    <mergeCell ref="F5:F6"/>
    <mergeCell ref="G1:G4"/>
    <mergeCell ref="E35:E37"/>
    <mergeCell ref="F35:F37"/>
    <mergeCell ref="A40:A41"/>
    <mergeCell ref="B40:B41"/>
    <mergeCell ref="C40:C41"/>
    <mergeCell ref="A35:A39"/>
    <mergeCell ref="B35:B37"/>
    <mergeCell ref="C35:C37"/>
    <mergeCell ref="D35:D37"/>
    <mergeCell ref="L43:V43"/>
    <mergeCell ref="X43:AH43"/>
    <mergeCell ref="L44:V44"/>
    <mergeCell ref="X44:AH44"/>
    <mergeCell ref="L45:P45"/>
    <mergeCell ref="R45:T45"/>
    <mergeCell ref="X45:AB45"/>
    <mergeCell ref="AD45:AF4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0D24-88F5-4964-85FE-D4BD6DCC913C}">
  <sheetPr codeName="Planilha24"/>
  <dimension ref="A1:AG15"/>
  <sheetViews>
    <sheetView showGridLines="0" workbookViewId="0">
      <selection activeCell="J15" sqref="J15"/>
    </sheetView>
  </sheetViews>
  <sheetFormatPr defaultColWidth="9.140625" defaultRowHeight="11.25" x14ac:dyDescent="0.2"/>
  <cols>
    <col min="1" max="1" width="19.140625" style="14" bestFit="1" customWidth="1"/>
    <col min="2" max="2" width="12.42578125" style="14" bestFit="1" customWidth="1"/>
    <col min="3" max="7" width="10.28515625" style="14" bestFit="1" customWidth="1"/>
    <col min="8" max="8" width="8.7109375" style="14" bestFit="1" customWidth="1"/>
    <col min="9" max="9" width="8" style="14" bestFit="1" customWidth="1"/>
    <col min="10" max="10" width="7.28515625" style="14" bestFit="1" customWidth="1"/>
    <col min="11" max="11" width="7.140625" style="14" bestFit="1" customWidth="1"/>
    <col min="12" max="12" width="9.5703125" style="14" bestFit="1" customWidth="1"/>
    <col min="13" max="13" width="9.7109375" style="14" bestFit="1" customWidth="1"/>
    <col min="14" max="14" width="10" style="14" bestFit="1" customWidth="1"/>
    <col min="15" max="15" width="7.42578125" style="14" bestFit="1" customWidth="1"/>
    <col min="16" max="16" width="9.7109375" style="14" bestFit="1" customWidth="1"/>
    <col min="17" max="17" width="11" style="14" bestFit="1" customWidth="1"/>
    <col min="18" max="18" width="7.7109375" style="14" bestFit="1" customWidth="1"/>
    <col min="19" max="19" width="7.140625" style="14" bestFit="1" customWidth="1"/>
    <col min="20" max="20" width="14.5703125" style="14" bestFit="1" customWidth="1"/>
    <col min="21" max="21" width="17.7109375" style="14" bestFit="1" customWidth="1"/>
    <col min="22" max="22" width="18.42578125" style="14" bestFit="1" customWidth="1"/>
    <col min="23" max="23" width="6" style="14" bestFit="1" customWidth="1"/>
    <col min="24" max="24" width="10" style="14" bestFit="1" customWidth="1"/>
    <col min="25" max="26" width="9.140625" style="14"/>
    <col min="27" max="27" width="3" style="14" bestFit="1" customWidth="1"/>
    <col min="28" max="28" width="21.5703125" style="14" bestFit="1" customWidth="1"/>
    <col min="29" max="29" width="13.5703125" style="14" bestFit="1" customWidth="1"/>
    <col min="30" max="30" width="25.140625" style="14" bestFit="1" customWidth="1"/>
    <col min="31" max="33" width="10.28515625" style="14" bestFit="1" customWidth="1"/>
    <col min="34" max="16384" width="9.140625" style="14"/>
  </cols>
  <sheetData>
    <row r="1" spans="1:33" x14ac:dyDescent="0.2">
      <c r="A1" s="14" t="s">
        <v>49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15</v>
      </c>
      <c r="G1" s="14" t="s">
        <v>55</v>
      </c>
      <c r="I1" s="14" t="s">
        <v>885</v>
      </c>
      <c r="AA1" s="14" t="s">
        <v>58</v>
      </c>
      <c r="AB1" s="14" t="s">
        <v>25</v>
      </c>
      <c r="AC1" s="14" t="s">
        <v>25</v>
      </c>
      <c r="AD1" s="14" t="s">
        <v>25</v>
      </c>
      <c r="AE1" s="14" t="s">
        <v>25</v>
      </c>
      <c r="AF1" s="14" t="s">
        <v>25</v>
      </c>
      <c r="AG1" s="14" t="s">
        <v>25</v>
      </c>
    </row>
    <row r="2" spans="1:33" x14ac:dyDescent="0.2">
      <c r="A2" s="14" t="s">
        <v>58</v>
      </c>
      <c r="B2" s="14" t="s">
        <v>25</v>
      </c>
      <c r="C2" s="14" t="s">
        <v>25</v>
      </c>
      <c r="D2" s="14" t="s">
        <v>25</v>
      </c>
      <c r="E2" s="14" t="s">
        <v>25</v>
      </c>
      <c r="F2" s="14" t="s">
        <v>25</v>
      </c>
      <c r="G2" s="14" t="s">
        <v>25</v>
      </c>
      <c r="I2" s="14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4" t="s">
        <v>71</v>
      </c>
      <c r="AB2" s="14" t="s">
        <v>63</v>
      </c>
      <c r="AC2" s="14" t="s">
        <v>24</v>
      </c>
      <c r="AD2" s="14" t="s">
        <v>24</v>
      </c>
      <c r="AE2" s="14" t="s">
        <v>68</v>
      </c>
      <c r="AG2" s="14" t="s">
        <v>65</v>
      </c>
    </row>
    <row r="3" spans="1:33" x14ac:dyDescent="0.2">
      <c r="AA3" s="14" t="s">
        <v>22</v>
      </c>
      <c r="AB3" s="14" t="s">
        <v>69</v>
      </c>
      <c r="AC3" s="14" t="s">
        <v>32</v>
      </c>
      <c r="AD3" s="14" t="s">
        <v>41</v>
      </c>
      <c r="AE3" s="14" t="s">
        <v>72</v>
      </c>
      <c r="AG3" s="14" t="s">
        <v>66</v>
      </c>
    </row>
    <row r="4" spans="1:33" x14ac:dyDescent="0.2">
      <c r="AA4" s="14" t="s">
        <v>31</v>
      </c>
      <c r="AB4" s="14" t="s">
        <v>70</v>
      </c>
      <c r="AC4" s="14" t="s">
        <v>35</v>
      </c>
      <c r="AD4" s="14" t="s">
        <v>42</v>
      </c>
      <c r="AE4" s="14" t="s">
        <v>73</v>
      </c>
      <c r="AG4" s="14" t="s">
        <v>67</v>
      </c>
    </row>
    <row r="5" spans="1:33" x14ac:dyDescent="0.2">
      <c r="A5" s="14" t="s">
        <v>878</v>
      </c>
      <c r="B5" s="14" t="str">
        <f>TUSD!$AI$4</f>
        <v>CDE Covid TUSD</v>
      </c>
      <c r="C5" s="14" t="str">
        <f>TUSD!$AJ$4</f>
        <v>TFSEE</v>
      </c>
      <c r="D5" s="14" t="str">
        <f>TUSD!$AK$4</f>
        <v>P&amp;D</v>
      </c>
      <c r="E5" s="14" t="str">
        <f>TUSD!$AL$4</f>
        <v>ONS</v>
      </c>
      <c r="F5" s="14" t="str">
        <f>TUSD!$AM$4</f>
        <v>CCC</v>
      </c>
      <c r="G5" s="14" t="str">
        <f>TUSD!$AN$4</f>
        <v>CDE</v>
      </c>
      <c r="H5" s="14" t="str">
        <f>TUSD!$AO$4</f>
        <v>PROINFA</v>
      </c>
      <c r="I5" s="14" t="str">
        <f>TUSD!$AP$4</f>
        <v>LIMINAR 1</v>
      </c>
      <c r="J5" s="14" t="str">
        <f>TUSD!$AQ$4</f>
        <v>TUSD RB</v>
      </c>
      <c r="K5" s="14" t="str">
        <f>TUSD!$AR$4</f>
        <v>TUSD FR</v>
      </c>
      <c r="L5" s="14" t="str">
        <f>TUSD!$AS$4</f>
        <v>CONEXAO T</v>
      </c>
      <c r="M5" s="14" t="str">
        <f>TUSD!$AT$4</f>
        <v>CONEXAO D</v>
      </c>
      <c r="N5" s="14" t="str">
        <f>TUSD!$AU$4</f>
        <v>CUSD</v>
      </c>
      <c r="O5" s="14" t="str">
        <f>TUSD!$AV$4</f>
        <v>TUSDG-T</v>
      </c>
      <c r="P5" s="14" t="str">
        <f>TUSD!$AW$4</f>
        <v>TUSDG-ONS</v>
      </c>
      <c r="Q5" s="14" t="str">
        <f>TUSD!$AX$4</f>
        <v>DISTRIBUICAO</v>
      </c>
      <c r="R5" s="14" t="str">
        <f>TUSD!$AY$4</f>
        <v>SUBSIDIO</v>
      </c>
      <c r="S5" s="14" t="str">
        <f>TUSD!$AZ$4</f>
        <v>OUTROS</v>
      </c>
      <c r="T5" s="14" t="str">
        <f>TUSD!$BA$4</f>
        <v>PERDAS TECNICAS</v>
      </c>
      <c r="U5" s="14" t="str">
        <f>TUSD!$BB$4</f>
        <v>PERDAS RB/ PERDAS D</v>
      </c>
      <c r="V5" s="14" t="str">
        <f>TUSD!$BC$4</f>
        <v>PERDAS NAO TECNICAS</v>
      </c>
      <c r="W5" s="14" t="str">
        <f>TUSD!$BD$4</f>
        <v>RI</v>
      </c>
      <c r="X5" s="14" t="s">
        <v>301</v>
      </c>
      <c r="AA5" s="14" t="s">
        <v>28</v>
      </c>
      <c r="AB5" s="14" t="s">
        <v>76</v>
      </c>
      <c r="AD5" s="14" t="s">
        <v>39</v>
      </c>
      <c r="AG5" s="14" t="s">
        <v>9</v>
      </c>
    </row>
    <row r="6" spans="1:33" x14ac:dyDescent="0.2">
      <c r="A6" s="14" t="s">
        <v>879</v>
      </c>
      <c r="B6" s="45">
        <f>SUM(TUSD!$AI$57:'TUSD'!$AI$103)</f>
        <v>400014.79570035834</v>
      </c>
      <c r="C6" s="45">
        <f>SUM(TUSD!$AJ$57:'TUSD'!$AJ$103)</f>
        <v>19422.161644857391</v>
      </c>
      <c r="D6" s="45">
        <f>SUM(TUSD!$AK$57:'TUSD'!$AK$103)</f>
        <v>0</v>
      </c>
      <c r="E6" s="45">
        <f>SUM(TUSD!$AL$57:'TUSD'!$AL$103)</f>
        <v>0</v>
      </c>
      <c r="F6" s="45">
        <f>SUM(TUSD!$AM$57:'TUSD'!$AM$103)</f>
        <v>0</v>
      </c>
      <c r="G6" s="45">
        <f>SUM(TUSD!$AN$57:'TUSD'!$AN$103)</f>
        <v>618264.45566799259</v>
      </c>
      <c r="H6" s="45">
        <f>SUM(TUSD!$AO$57:'TUSD'!$AO$103)</f>
        <v>98948.28417063618</v>
      </c>
      <c r="I6" s="45">
        <f>SUM(TUSD!$AP$57:'TUSD'!$AP$103)</f>
        <v>0</v>
      </c>
      <c r="J6" s="45">
        <f>SUM(TUSD!$AQ$57:'TUSD'!$AQ$103)</f>
        <v>0</v>
      </c>
      <c r="K6" s="45">
        <f>SUM(TUSD!$AR$57:'TUSD'!$AR$103)</f>
        <v>0</v>
      </c>
      <c r="L6" s="45">
        <f>SUM(TUSD!$AS$57:'TUSD'!$AS$103)</f>
        <v>0</v>
      </c>
      <c r="M6" s="45">
        <f>SUM(TUSD!$AT$57:'TUSD'!$AT$103)</f>
        <v>0</v>
      </c>
      <c r="N6" s="45">
        <f>SUM(TUSD!$AU$57:'TUSD'!$AU$103)</f>
        <v>1673295.8649299657</v>
      </c>
      <c r="O6" s="45">
        <f>SUM(TUSD!$AV$57:'TUSD'!$AV$103)</f>
        <v>0</v>
      </c>
      <c r="P6" s="45">
        <f>SUM(TUSD!$AW$57:'TUSD'!$AW$103)</f>
        <v>0</v>
      </c>
      <c r="Q6" s="45">
        <f>SUM(TUSD!$AX$57:'TUSD'!$AX$103)</f>
        <v>1760173.7093606349</v>
      </c>
      <c r="R6" s="45">
        <f>SUM(TUSD!$AY$57:'TUSD'!$AY$103)</f>
        <v>0</v>
      </c>
      <c r="S6" s="45">
        <f>SUM(TUSD!$AZ$57:'TUSD'!$AZ$103)</f>
        <v>0</v>
      </c>
      <c r="T6" s="45">
        <f>SUM(TUSD!$BA$57:'TUSD'!$BA$103)</f>
        <v>226926.60513758365</v>
      </c>
      <c r="U6" s="45">
        <f>SUM(TUSD!$BB$57:'TUSD'!$BB$103)</f>
        <v>0</v>
      </c>
      <c r="V6" s="45">
        <f>SUM(TUSD!$BC$57:'TUSD'!$BC$103)</f>
        <v>0</v>
      </c>
      <c r="W6" s="45">
        <f>SUM(TUSD!$BD$57:'TUSD'!$BD$103)</f>
        <v>0</v>
      </c>
      <c r="X6" s="45">
        <f t="shared" ref="X6:X11" si="0">SUM(B6:W6)</f>
        <v>4797045.876612029</v>
      </c>
      <c r="AA6" s="14" t="s">
        <v>34</v>
      </c>
      <c r="AB6" s="14" t="s">
        <v>23</v>
      </c>
      <c r="AD6" s="14" t="s">
        <v>40</v>
      </c>
      <c r="AG6" s="14" t="s">
        <v>61</v>
      </c>
    </row>
    <row r="7" spans="1:33" x14ac:dyDescent="0.2">
      <c r="A7" s="14" t="s">
        <v>880</v>
      </c>
      <c r="B7" s="45">
        <f>SUM(TUSD!$L$57:'TUSD'!$L$103)</f>
        <v>394466.35412813636</v>
      </c>
      <c r="C7" s="45">
        <f>SUM(TUSD!$M$57:'TUSD'!$M$103)</f>
        <v>28812.097251983021</v>
      </c>
      <c r="D7" s="45">
        <f ca="1">SUM(TUSD!$N$57:'TUSD'!$N$103)</f>
        <v>0</v>
      </c>
      <c r="E7" s="45">
        <f>SUM(TUSD!$O$57:'TUSD'!$O$103)</f>
        <v>0</v>
      </c>
      <c r="F7" s="45">
        <f>SUM(TUSD!$P$57:'TUSD'!$P$103)</f>
        <v>0</v>
      </c>
      <c r="G7" s="45">
        <f>SUM(TUSD!$Q$57:'TUSD'!$Q$103)</f>
        <v>1130240.4306461941</v>
      </c>
      <c r="H7" s="45">
        <f>SUM(TUSD!$R$57:'TUSD'!$R$103)</f>
        <v>178796.69141334784</v>
      </c>
      <c r="I7" s="45">
        <f>SUM(TUSD!$S$57:'TUSD'!$S$103)</f>
        <v>0</v>
      </c>
      <c r="J7" s="45">
        <f>SUM(TUSD!$T$57:'TUSD'!$T$103)</f>
        <v>0</v>
      </c>
      <c r="K7" s="45">
        <f>SUM(TUSD!$U$57:'TUSD'!$U$103)</f>
        <v>0</v>
      </c>
      <c r="L7" s="45">
        <f>SUM(TUSD!$V$57:'TUSD'!$V$103)</f>
        <v>0</v>
      </c>
      <c r="M7" s="45">
        <f>SUM(TUSD!$W$57:'TUSD'!$W$103)</f>
        <v>0</v>
      </c>
      <c r="N7" s="45">
        <f>SUM(TUSD!$X$57:'TUSD'!$X$103)</f>
        <v>2018698.3184234435</v>
      </c>
      <c r="O7" s="45">
        <f>SUM(TUSD!$Y$57:'TUSD'!$Y$103)</f>
        <v>0</v>
      </c>
      <c r="P7" s="45">
        <f>SUM(TUSD!$Z$57:'TUSD'!$Z$103)</f>
        <v>0</v>
      </c>
      <c r="Q7" s="45">
        <f>SUM(TUSD!$AA$57:'TUSD'!$AA$103)</f>
        <v>2324315.3158199666</v>
      </c>
      <c r="R7" s="45">
        <f ca="1">SUM(TUSD!$AB$57:'TUSD'!$AB$103)</f>
        <v>0</v>
      </c>
      <c r="S7" s="45">
        <f ca="1">SUM(TUSD!$AC$57:'TUSD'!$AC$103)</f>
        <v>0</v>
      </c>
      <c r="T7" s="45">
        <f>SUM(TUSD!$AD$57:'TUSD'!$AD$103)</f>
        <v>160804.63823434012</v>
      </c>
      <c r="U7" s="45">
        <f>SUM(TUSD!$AE$57:'TUSD'!$AE$103)</f>
        <v>0</v>
      </c>
      <c r="V7" s="45">
        <f ca="1">SUM(TUSD!$AF$57:'TUSD'!$AF$103)</f>
        <v>0</v>
      </c>
      <c r="W7" s="45">
        <f ca="1">SUM(TUSD!$AG$57:'TUSD'!$AG$103)</f>
        <v>0</v>
      </c>
      <c r="X7" s="45">
        <f t="shared" ca="1" si="0"/>
        <v>6236133.8459174111</v>
      </c>
      <c r="AB7" s="14" t="s">
        <v>78</v>
      </c>
      <c r="AD7" s="14" t="s">
        <v>79</v>
      </c>
      <c r="AG7" s="14" t="s">
        <v>62</v>
      </c>
    </row>
    <row r="8" spans="1:33" x14ac:dyDescent="0.2">
      <c r="A8" s="14" t="s">
        <v>883</v>
      </c>
      <c r="B8" s="45">
        <f>IF($G$2&lt;&gt;"Não se aplica",SUMIF(TUSD!$G$57:'TUSD'!$G$103,$I$2,TUSD!$AI$57:'TUSD'!$AI$103),IF($F$2&lt;&gt;"Não se aplica",SUMIF(TUSD!$F$57:'TUSD'!$F$103,$I$2,TUSD!$AI$57:'TUSD'!$AI$103),IF($E$2&lt;&gt;"Não se aplica",SUMIF(TUSD!$E$57:'TUSD'!$E$103,$I$2,TUSD!$AI$57:'TUSD'!$AI$103),IF($D$2&lt;&gt;"Não se aplica",SUMIF(TUSD!$D$57:'TUSD'!$D$103,$I$2,TUSD!$AI$57:'TUSD'!$AI$103),IF($C$2&lt;&gt;"Não se aplica",SUMIF(TUSD!$C$57:'TUSD'!$C$103,$I$2,TUSD!$AI$57:'TUSD'!$AI$103),IF($B$2&lt;&gt;"Não se aplica",SUMIF(TUSD!$B$57:'TUSD'!$B$103,$I$2,TUSD!$AI$57:'TUSD'!$AI$103),SUMIF(TUSD!$A$57:'TUSD'!$A$103,$I$2,TUSD!$AI$57:'TUSD'!$AI$103)))))))</f>
        <v>0</v>
      </c>
      <c r="C8" s="45">
        <f>IF($G$2&lt;&gt;"Não se aplica",SUMIF(TUSD!$G$57:'TUSD'!$G$103,$I$2,TUSD!$AJ$57:'TUSD'!$AJ$103),IF($F$2&lt;&gt;"Não se aplica",SUMIF(TUSD!$F$57:'TUSD'!$F$103,$I$2,TUSD!$AJ$57:'TUSD'!$AJ$103),IF($E$2&lt;&gt;"Não se aplica",SUMIF(TUSD!$E$57:'TUSD'!$E$103,$I$2,TUSD!$AJ$57:'TUSD'!$AJ$103),IF($D$2&lt;&gt;"Não se aplica",SUMIF(TUSD!$D$57:'TUSD'!$D$103,$I$2,TUSD!$AJ$57:'TUSD'!$AJ$103),IF($C$2&lt;&gt;"Não se aplica",SUMIF(TUSD!$C$57:'TUSD'!$C$103,$I$2,TUSD!$AJ$57:'TUSD'!$AJ$103),IF($B$2&lt;&gt;"Não se aplica",SUMIF(TUSD!$B$57:'TUSD'!$B$103,$I$2,TUSD!$AJ$57:'TUSD'!$AJ$103),SUMIF(TUSD!$A$57:'TUSD'!$A$103,$I$2,TUSD!$AJ$57:'TUSD'!$AJ$103)))))))</f>
        <v>0</v>
      </c>
      <c r="D8" s="45">
        <f>IF($G$2&lt;&gt;"Não se aplica",SUMIF(TUSD!$G$57:'TUSD'!$G$103,$I$2,TUSD!$AK$57:'TUSD'!$AK$103),IF($F$2&lt;&gt;"Não se aplica",SUMIF(TUSD!$F$57:'TUSD'!$F$103,$I$2,TUSD!$AK$57:'TUSD'!$AK$103),IF($E$2&lt;&gt;"Não se aplica",SUMIF(TUSD!$E$57:'TUSD'!$E$103,$I$2,TUSD!$AK$57:'TUSD'!$AK$103),IF($D$2&lt;&gt;"Não se aplica",SUMIF(TUSD!$D$57:'TUSD'!$D$103,$I$2,TUSD!$AK$57:'TUSD'!$AK$103),IF($C$2&lt;&gt;"Não se aplica",SUMIF(TUSD!$C$57:'TUSD'!$C$103,$I$2,TUSD!$AK$57:'TUSD'!$AK$103),IF($B$2&lt;&gt;"Não se aplica",SUMIF(TUSD!$B$57:'TUSD'!$B$103,$I$2,TUSD!$AK$57:'TUSD'!$AK$103),SUMIF(TUSD!$A$57:'TUSD'!$A$103,$I$2,TUSD!$AK$57:'TUSD'!$AK$103)))))))</f>
        <v>0</v>
      </c>
      <c r="E8" s="45">
        <f>IF($G$2&lt;&gt;"Não se aplica",SUMIF(TUSD!$G$57:'TUSD'!$G$103,$I$2,TUSD!$AL$57:'TUSD'!$AL$103),IF($F$2&lt;&gt;"Não se aplica",SUMIF(TUSD!$F$57:'TUSD'!$F$103,$I$2,TUSD!$AL$57:'TUSD'!$AL$103),IF($E$2&lt;&gt;"Não se aplica",SUMIF(TUSD!$E$57:'TUSD'!$E$103,$I$2,TUSD!$AL$57:'TUSD'!$AL$103),IF($D$2&lt;&gt;"Não se aplica",SUMIF(TUSD!$D$57:'TUSD'!$D$103,$I$2,TUSD!$AL$57:'TUSD'!$AL$103),IF($C$2&lt;&gt;"Não se aplica",SUMIF(TUSD!$C$57:'TUSD'!$C$103,$I$2,TUSD!$AL$57:'TUSD'!$AL$103),IF($B$2&lt;&gt;"Não se aplica",SUMIF(TUSD!$B$57:'TUSD'!$B$103,$I$2,TUSD!$AL$57:'TUSD'!$AL$103),SUMIF(TUSD!$A$57:'TUSD'!$A$103,$I$2,TUSD!$AL$57:'TUSD'!$AL$103)))))))</f>
        <v>0</v>
      </c>
      <c r="F8" s="45">
        <f>IF($G$2&lt;&gt;"Não se aplica",SUMIF(TUSD!$G$57:'TUSD'!$G$103,$I$2,TUSD!$AM$57:'TUSD'!$AM$103),IF($F$2&lt;&gt;"Não se aplica",SUMIF(TUSD!$F$57:'TUSD'!$F$103,$I$2,TUSD!$AM$57:'TUSD'!$AM$103),IF($E$2&lt;&gt;"Não se aplica",SUMIF(TUSD!$E$57:'TUSD'!$E$103,$I$2,TUSD!$AM$57:'TUSD'!$AM$103),IF($D$2&lt;&gt;"Não se aplica",SUMIF(TUSD!$D$57:'TUSD'!$D$103,$I$2,TUSD!$AM$57:'TUSD'!$AM$103),IF($C$2&lt;&gt;"Não se aplica",SUMIF(TUSD!$C$57:'TUSD'!$C$103,$I$2,TUSD!$AM$57:'TUSD'!$AM$103),IF($B$2&lt;&gt;"Não se aplica",SUMIF(TUSD!$B$57:'TUSD'!$B$103,$I$2,TUSD!$AM$57:'TUSD'!$AM$103),SUMIF(TUSD!$A$57:'TUSD'!$A$103,$I$2,TUSD!$AM$57:'TUSD'!$AM$103)))))))</f>
        <v>0</v>
      </c>
      <c r="G8" s="45">
        <f>IF($G$2&lt;&gt;"Não se aplica",SUMIF(TUSD!$G$57:'TUSD'!$G$103,$I$2,TUSD!$AN$57:'TUSD'!$AN$103),IF($F$2&lt;&gt;"Não se aplica",SUMIF(TUSD!$F$57:'TUSD'!$F$103,$I$2,TUSD!$AN$57:'TUSD'!$AN$103),IF($E$2&lt;&gt;"Não se aplica",SUMIF(TUSD!$E$57:'TUSD'!$E$103,$I$2,TUSD!$AN$57:'TUSD'!$AN$103),IF($D$2&lt;&gt;"Não se aplica",SUMIF(TUSD!$D$57:'TUSD'!$D$103,$I$2,TUSD!$AN$57:'TUSD'!$AN$103),IF($C$2&lt;&gt;"Não se aplica",SUMIF(TUSD!$C$57:'TUSD'!$C$103,$I$2,TUSD!$AN$57:'TUSD'!$AN$103),IF($B$2&lt;&gt;"Não se aplica",SUMIF(TUSD!$B$57:'TUSD'!$B$103,$I$2,TUSD!$AN$57:'TUSD'!$AN$103),SUMIF(TUSD!$A$57:'TUSD'!$A$103,$I$2,TUSD!$AN$57:'TUSD'!$AN$103)))))))</f>
        <v>0</v>
      </c>
      <c r="H8" s="45">
        <f>IF($G$2&lt;&gt;"Não se aplica",SUMIF(TUSD!$G$57:'TUSD'!$G$103,$I$2,TUSD!$AO$57:'TUSD'!$AO$103),IF($F$2&lt;&gt;"Não se aplica",SUMIF(TUSD!$F$57:'TUSD'!$F$103,$I$2,TUSD!$AO$57:'TUSD'!$AO$103),IF($E$2&lt;&gt;"Não se aplica",SUMIF(TUSD!$E$57:'TUSD'!$E$103,$I$2,TUSD!$AO$57:'TUSD'!$AO$103),IF($D$2&lt;&gt;"Não se aplica",SUMIF(TUSD!$D$57:'TUSD'!$D$103,$I$2,TUSD!$AO$57:'TUSD'!$AO$103),IF($C$2&lt;&gt;"Não se aplica",SUMIF(TUSD!$C$57:'TUSD'!$C$103,$I$2,TUSD!$AO$57:'TUSD'!$AO$103),IF($B$2&lt;&gt;"Não se aplica",SUMIF(TUSD!$B$57:'TUSD'!$B$103,$I$2,TUSD!$AO$57:'TUSD'!$AO$103),SUMIF(TUSD!$A$57:'TUSD'!$A$103,$I$2,TUSD!$AO$57:'TUSD'!$AO$103)))))))</f>
        <v>0</v>
      </c>
      <c r="I8" s="45">
        <f>IF($G$2&lt;&gt;"Não se aplica",SUMIF(TUSD!$G$57:'TUSD'!$G$103,$I$2,TUSD!$AP$57:'TUSD'!$AP$103),IF($F$2&lt;&gt;"Não se aplica",SUMIF(TUSD!$F$57:'TUSD'!$F$103,$I$2,TUSD!$AP$57:'TUSD'!$AP$103),IF($E$2&lt;&gt;"Não se aplica",SUMIF(TUSD!$E$57:'TUSD'!$E$103,$I$2,TUSD!$AP$57:'TUSD'!$AP$103),IF($D$2&lt;&gt;"Não se aplica",SUMIF(TUSD!$D$57:'TUSD'!$D$103,$I$2,TUSD!$AP$57:'TUSD'!$AP$103),IF($C$2&lt;&gt;"Não se aplica",SUMIF(TUSD!$C$57:'TUSD'!$C$103,$I$2,TUSD!$AP$57:'TUSD'!$AP$103),IF($B$2&lt;&gt;"Não se aplica",SUMIF(TUSD!$B$57:'TUSD'!$B$103,$I$2,TUSD!$AP$57:'TUSD'!$AP$103),SUMIF(TUSD!$A$57:'TUSD'!$A$103,$I$2,TUSD!$AP$57:'TUSD'!$AP$103)))))))</f>
        <v>0</v>
      </c>
      <c r="J8" s="45">
        <f>IF($G$2&lt;&gt;"Não se aplica",SUMIF(TUSD!$G$57:'TUSD'!$G$103,$I$2,TUSD!$AQ$57:'TUSD'!$AQ$103),IF($F$2&lt;&gt;"Não se aplica",SUMIF(TUSD!$F$57:'TUSD'!$F$103,$I$2,TUSD!$AQ$57:'TUSD'!$AQ$103),IF($E$2&lt;&gt;"Não se aplica",SUMIF(TUSD!$E$57:'TUSD'!$E$103,$I$2,TUSD!$AQ$57:'TUSD'!$AQ$103),IF($D$2&lt;&gt;"Não se aplica",SUMIF(TUSD!$D$57:'TUSD'!$D$103,$I$2,TUSD!$AQ$57:'TUSD'!$AQ$103),IF($C$2&lt;&gt;"Não se aplica",SUMIF(TUSD!$C$57:'TUSD'!$C$103,$I$2,TUSD!$AQ$57:'TUSD'!$AQ$103),IF($B$2&lt;&gt;"Não se aplica",SUMIF(TUSD!$B$57:'TUSD'!$B$103,$I$2,TUSD!$AQ$57:'TUSD'!$AQ$103),SUMIF(TUSD!$A$57:'TUSD'!$A$103,$I$2,TUSD!$AQ$57:'TUSD'!$AQ$103)))))))</f>
        <v>0</v>
      </c>
      <c r="K8" s="45">
        <f>IF($G$2&lt;&gt;"Não se aplica",SUMIF(TUSD!$G$57:'TUSD'!$G$103,$I$2,TUSD!$AR$57:'TUSD'!$AR$103),IF($F$2&lt;&gt;"Não se aplica",SUMIF(TUSD!$F$57:'TUSD'!$F$103,$I$2,TUSD!$AR$57:'TUSD'!$AR$103),IF($E$2&lt;&gt;"Não se aplica",SUMIF(TUSD!$E$57:'TUSD'!$E$103,$I$2,TUSD!$AR$57:'TUSD'!$AR$103),IF($D$2&lt;&gt;"Não se aplica",SUMIF(TUSD!$D$57:'TUSD'!$D$103,$I$2,TUSD!$AR$57:'TUSD'!$AR$103),IF($C$2&lt;&gt;"Não se aplica",SUMIF(TUSD!$C$57:'TUSD'!$C$103,$I$2,TUSD!$AR$57:'TUSD'!$AR$103),IF($B$2&lt;&gt;"Não se aplica",SUMIF(TUSD!$B$57:'TUSD'!$B$103,$I$2,TUSD!$AR$57:'TUSD'!$AR$103),SUMIF(TUSD!$A$57:'TUSD'!$A$103,$I$2,TUSD!$AR$57:'TUSD'!$AR$103)))))))</f>
        <v>0</v>
      </c>
      <c r="L8" s="45">
        <f>IF($G$2&lt;&gt;"Não se aplica",SUMIF(TUSD!$G$57:'TUSD'!$G$103,$I$2,TUSD!$AS$57:'TUSD'!$AS$103),IF($F$2&lt;&gt;"Não se aplica",SUMIF(TUSD!$F$57:'TUSD'!$F$103,$I$2,TUSD!$AS$57:'TUSD'!$AS$103),IF($E$2&lt;&gt;"Não se aplica",SUMIF(TUSD!$E$57:'TUSD'!$E$103,$I$2,TUSD!$AS$57:'TUSD'!$AS$103),IF($D$2&lt;&gt;"Não se aplica",SUMIF(TUSD!$D$57:'TUSD'!$D$103,$I$2,TUSD!$AS$57:'TUSD'!$AS$103),IF($C$2&lt;&gt;"Não se aplica",SUMIF(TUSD!$C$57:'TUSD'!$C$103,$I$2,TUSD!$AS$57:'TUSD'!$AS$103),IF($B$2&lt;&gt;"Não se aplica",SUMIF(TUSD!$B$57:'TUSD'!$B$103,$I$2,TUSD!$AS$57:'TUSD'!$AS$103),SUMIF(TUSD!$A$57:'TUSD'!$A$103,$I$2,TUSD!$AS$57:'TUSD'!$AS$103)))))))</f>
        <v>0</v>
      </c>
      <c r="M8" s="45">
        <f>IF($G$2&lt;&gt;"Não se aplica",SUMIF(TUSD!$G$57:'TUSD'!$G$103,$I$2,TUSD!$AT$57:'TUSD'!$AT$103),IF($F$2&lt;&gt;"Não se aplica",SUMIF(TUSD!$F$57:'TUSD'!$F$103,$I$2,TUSD!$AT$57:'TUSD'!$AT$103),IF($E$2&lt;&gt;"Não se aplica",SUMIF(TUSD!$E$57:'TUSD'!$E$103,$I$2,TUSD!$AT$57:'TUSD'!$AT$103),IF($D$2&lt;&gt;"Não se aplica",SUMIF(TUSD!$D$57:'TUSD'!$D$103,$I$2,TUSD!$AT$57:'TUSD'!$AT$103),IF($C$2&lt;&gt;"Não se aplica",SUMIF(TUSD!$C$57:'TUSD'!$C$103,$I$2,TUSD!$AT$57:'TUSD'!$AT$103),IF($B$2&lt;&gt;"Não se aplica",SUMIF(TUSD!$B$57:'TUSD'!$B$103,$I$2,TUSD!$AT$57:'TUSD'!$AT$103),SUMIF(TUSD!$A$57:'TUSD'!$A$103,$I$2,TUSD!$AT$57:'TUSD'!$AT$103)))))))</f>
        <v>0</v>
      </c>
      <c r="N8" s="45">
        <f>IF($G$2&lt;&gt;"Não se aplica",SUMIF(TUSD!$G$57:'TUSD'!$G$103,$I$2,TUSD!$AU$57:'TUSD'!$AU$103),IF($F$2&lt;&gt;"Não se aplica",SUMIF(TUSD!$F$57:'TUSD'!$F$103,$I$2,TUSD!$AU$57:'TUSD'!$AU$103),IF($E$2&lt;&gt;"Não se aplica",SUMIF(TUSD!$E$57:'TUSD'!$E$103,$I$2,TUSD!$AU$57:'TUSD'!$AU$103),IF($D$2&lt;&gt;"Não se aplica",SUMIF(TUSD!$D$57:'TUSD'!$D$103,$I$2,TUSD!$AU$57:'TUSD'!$AU$103),IF($C$2&lt;&gt;"Não se aplica",SUMIF(TUSD!$C$57:'TUSD'!$C$103,$I$2,TUSD!$AU$57:'TUSD'!$AU$103),IF($B$2&lt;&gt;"Não se aplica",SUMIF(TUSD!$B$57:'TUSD'!$B$103,$I$2,TUSD!$AU$57:'TUSD'!$AU$103),SUMIF(TUSD!$A$57:'TUSD'!$A$103,$I$2,TUSD!$AU$57:'TUSD'!$AU$103)))))))</f>
        <v>0</v>
      </c>
      <c r="O8" s="45">
        <f>IF($G$2&lt;&gt;"Não se aplica",SUMIF(TUSD!$G$57:'TUSD'!$G$103,$I$2,TUSD!$AV$57:'TUSD'!$AV$103),IF($F$2&lt;&gt;"Não se aplica",SUMIF(TUSD!$F$57:'TUSD'!$F$103,$I$2,TUSD!$AV$57:'TUSD'!$AV$103),IF($E$2&lt;&gt;"Não se aplica",SUMIF(TUSD!$E$57:'TUSD'!$E$103,$I$2,TUSD!$AV$57:'TUSD'!$AV$103),IF($D$2&lt;&gt;"Não se aplica",SUMIF(TUSD!$D$57:'TUSD'!$D$103,$I$2,TUSD!$AV$57:'TUSD'!$AV$103),IF($C$2&lt;&gt;"Não se aplica",SUMIF(TUSD!$C$57:'TUSD'!$C$103,$I$2,TUSD!$AV$57:'TUSD'!$AV$103),IF($B$2&lt;&gt;"Não se aplica",SUMIF(TUSD!$B$57:'TUSD'!$B$103,$I$2,TUSD!$AV$57:'TUSD'!$AV$103),SUMIF(TUSD!$A$57:'TUSD'!$A$103,$I$2,TUSD!$AV$57:'TUSD'!$AV$103)))))))</f>
        <v>0</v>
      </c>
      <c r="P8" s="45">
        <f>IF($G$2&lt;&gt;"Não se aplica",SUMIF(TUSD!$G$57:'TUSD'!$G$103,$I$2,TUSD!$AW$57:'TUSD'!$AW$103),IF($F$2&lt;&gt;"Não se aplica",SUMIF(TUSD!$F$57:'TUSD'!$F$103,$I$2,TUSD!$AW$57:'TUSD'!$AW$103),IF($E$2&lt;&gt;"Não se aplica",SUMIF(TUSD!$E$57:'TUSD'!$E$103,$I$2,TUSD!$AW$57:'TUSD'!$AW$103),IF($D$2&lt;&gt;"Não se aplica",SUMIF(TUSD!$D$57:'TUSD'!$D$103,$I$2,TUSD!$AW$57:'TUSD'!$AW$103),IF($C$2&lt;&gt;"Não se aplica",SUMIF(TUSD!$C$57:'TUSD'!$C$103,$I$2,TUSD!$AW$57:'TUSD'!$AW$103),IF($B$2&lt;&gt;"Não se aplica",SUMIF(TUSD!$B$57:'TUSD'!$B$103,$I$2,TUSD!$AW$57:'TUSD'!$AW$103),SUMIF(TUSD!$A$57:'TUSD'!$A$103,$I$2,TUSD!$AW$57:'TUSD'!$AW$103)))))))</f>
        <v>0</v>
      </c>
      <c r="Q8" s="45">
        <f>IF($G$2&lt;&gt;"Não se aplica",SUMIF(TUSD!$G$57:'TUSD'!$G$103,$I$2,TUSD!$AX$57:'TUSD'!$AX$103),IF($F$2&lt;&gt;"Não se aplica",SUMIF(TUSD!$F$57:'TUSD'!$F$103,$I$2,TUSD!$AX$57:'TUSD'!$AX$103),IF($E$2&lt;&gt;"Não se aplica",SUMIF(TUSD!$E$57:'TUSD'!$E$103,$I$2,TUSD!$AX$57:'TUSD'!$AX$103),IF($D$2&lt;&gt;"Não se aplica",SUMIF(TUSD!$D$57:'TUSD'!$D$103,$I$2,TUSD!$AX$57:'TUSD'!$AX$103),IF($C$2&lt;&gt;"Não se aplica",SUMIF(TUSD!$C$57:'TUSD'!$C$103,$I$2,TUSD!$AX$57:'TUSD'!$AX$103),IF($B$2&lt;&gt;"Não se aplica",SUMIF(TUSD!$B$57:'TUSD'!$B$103,$I$2,TUSD!$AX$57:'TUSD'!$AX$103),SUMIF(TUSD!$A$57:'TUSD'!$A$103,$I$2,TUSD!$AX$57:'TUSD'!$AX$103)))))))</f>
        <v>0</v>
      </c>
      <c r="R8" s="45">
        <f>IF($G$2&lt;&gt;"Não se aplica",SUMIF(TUSD!$G$57:'TUSD'!$G$103,$I$2,TUSD!$AY$57:'TUSD'!$AY$103),IF($F$2&lt;&gt;"Não se aplica",SUMIF(TUSD!$F$57:'TUSD'!$F$103,$I$2,TUSD!$AY$57:'TUSD'!$AY$103),IF($E$2&lt;&gt;"Não se aplica",SUMIF(TUSD!$E$57:'TUSD'!$E$103,$I$2,TUSD!$AY$57:'TUSD'!$AY$103),IF($D$2&lt;&gt;"Não se aplica",SUMIF(TUSD!$D$57:'TUSD'!$D$103,$I$2,TUSD!$AY$57:'TUSD'!$AY$103),IF($C$2&lt;&gt;"Não se aplica",SUMIF(TUSD!$C$57:'TUSD'!$C$103,$I$2,TUSD!$AY$57:'TUSD'!$AY$103),IF($B$2&lt;&gt;"Não se aplica",SUMIF(TUSD!$B$57:'TUSD'!$B$103,$I$2,TUSD!$AY$57:'TUSD'!$AY$103),SUMIF(TUSD!$A$57:'TUSD'!$A$103,$I$2,TUSD!$AY$57:'TUSD'!$AY$103)))))))</f>
        <v>0</v>
      </c>
      <c r="S8" s="45">
        <f>IF($G$2&lt;&gt;"Não se aplica",SUMIF(TUSD!$G$57:'TUSD'!$G$103,$I$2,TUSD!$AZ$57:'TUSD'!$AZ$103),IF($F$2&lt;&gt;"Não se aplica",SUMIF(TUSD!$F$57:'TUSD'!$F$103,$I$2,TUSD!$AZ$57:'TUSD'!$AZ$103),IF($E$2&lt;&gt;"Não se aplica",SUMIF(TUSD!$E$57:'TUSD'!$E$103,$I$2,TUSD!$AZ$57:'TUSD'!$AZ$103),IF($D$2&lt;&gt;"Não se aplica",SUMIF(TUSD!$D$57:'TUSD'!$D$103,$I$2,TUSD!$AZ$57:'TUSD'!$AZ$103),IF($C$2&lt;&gt;"Não se aplica",SUMIF(TUSD!$C$57:'TUSD'!$C$103,$I$2,TUSD!$AZ$57:'TUSD'!$AZ$103),IF($B$2&lt;&gt;"Não se aplica",SUMIF(TUSD!$B$57:'TUSD'!$B$103,$I$2,TUSD!$AZ$57:'TUSD'!$AZ$103),SUMIF(TUSD!$A$57:'TUSD'!$A$103,$I$2,TUSD!$AZ$57:'TUSD'!$AZ$103)))))))</f>
        <v>0</v>
      </c>
      <c r="T8" s="45">
        <f>IF($G$2&lt;&gt;"Não se aplica",SUMIF(TUSD!$G$57:'TUSD'!$G$103,$I$2,TUSD!$BA$57:'TUSD'!$BA$103),IF($F$2&lt;&gt;"Não se aplica",SUMIF(TUSD!$F$57:'TUSD'!$F$103,$I$2,TUSD!$BA$57:'TUSD'!$BA$103),IF($E$2&lt;&gt;"Não se aplica",SUMIF(TUSD!$E$57:'TUSD'!$E$103,$I$2,TUSD!$BA$57:'TUSD'!$BA$103),IF($D$2&lt;&gt;"Não se aplica",SUMIF(TUSD!$D$57:'TUSD'!$D$103,$I$2,TUSD!$BA$57:'TUSD'!$BA$103),IF($C$2&lt;&gt;"Não se aplica",SUMIF(TUSD!$C$57:'TUSD'!$C$103,$I$2,TUSD!$BA$57:'TUSD'!$BA$103),IF($B$2&lt;&gt;"Não se aplica",SUMIF(TUSD!$B$57:'TUSD'!$B$103,$I$2,TUSD!$BA$57:'TUSD'!$BA$103),SUMIF(TUSD!$A$57:'TUSD'!$A$103,$I$2,TUSD!$BA$57:'TUSD'!$BA$103)))))))</f>
        <v>0</v>
      </c>
      <c r="U8" s="45">
        <f>IF($G$2&lt;&gt;"Não se aplica",SUMIF(TUSD!$G$57:'TUSD'!$G$103,$I$2,TUSD!$BB$57:'TUSD'!$BB$103),IF($F$2&lt;&gt;"Não se aplica",SUMIF(TUSD!$F$57:'TUSD'!$F$103,$I$2,TUSD!$BB$57:'TUSD'!$BB$103),IF($E$2&lt;&gt;"Não se aplica",SUMIF(TUSD!$E$57:'TUSD'!$E$103,$I$2,TUSD!$BB$57:'TUSD'!$BB$103),IF($D$2&lt;&gt;"Não se aplica",SUMIF(TUSD!$D$57:'TUSD'!$D$103,$I$2,TUSD!$BB$57:'TUSD'!$BB$103),IF($C$2&lt;&gt;"Não se aplica",SUMIF(TUSD!$C$57:'TUSD'!$C$103,$I$2,TUSD!$BB$57:'TUSD'!$BB$103),IF($B$2&lt;&gt;"Não se aplica",SUMIF(TUSD!$B$57:'TUSD'!$B$103,$I$2,TUSD!$BB$57:'TUSD'!$BB$103),SUMIF(TUSD!$A$57:'TUSD'!$A$103,$I$2,TUSD!$BB$57:'TUSD'!$BB$103)))))))</f>
        <v>0</v>
      </c>
      <c r="V8" s="45">
        <f>IF($G$2&lt;&gt;"Não se aplica",SUMIF(TUSD!$G$57:'TUSD'!$G$103,$I$2,TUSD!$BC$57:'TUSD'!$BC$103),IF($F$2&lt;&gt;"Não se aplica",SUMIF(TUSD!$F$57:'TUSD'!$F$103,$I$2,TUSD!$BC$57:'TUSD'!$BC$103),IF($E$2&lt;&gt;"Não se aplica",SUMIF(TUSD!$E$57:'TUSD'!$E$103,$I$2,TUSD!$BC$57:'TUSD'!$BC$103),IF($D$2&lt;&gt;"Não se aplica",SUMIF(TUSD!$D$57:'TUSD'!$D$103,$I$2,TUSD!$BC$57:'TUSD'!$BC$103),IF($C$2&lt;&gt;"Não se aplica",SUMIF(TUSD!$C$57:'TUSD'!$C$103,$I$2,TUSD!$BC$57:'TUSD'!$BC$103),IF($B$2&lt;&gt;"Não se aplica",SUMIF(TUSD!$B$57:'TUSD'!$B$103,$I$2,TUSD!$BC$57:'TUSD'!$BC$103),SUMIF(TUSD!$A$57:'TUSD'!$A$103,$I$2,TUSD!$BC$57:'TUSD'!$BC$103)))))))</f>
        <v>0</v>
      </c>
      <c r="W8" s="45">
        <f>IF($G$2&lt;&gt;"Não se aplica",SUMIF(TUSD!$G$57:'TUSD'!$G$103,$I$2,TUSD!$BD$57:'TUSD'!$BD$103),IF($F$2&lt;&gt;"Não se aplica",SUMIF(TUSD!$F$57:'TUSD'!$F$103,$I$2,TUSD!$BD$57:'TUSD'!$BD$103),IF($E$2&lt;&gt;"Não se aplica",SUMIF(TUSD!$E$57:'TUSD'!$E$103,$I$2,TUSD!$BD$57:'TUSD'!$BD$103),IF($D$2&lt;&gt;"Não se aplica",SUMIF(TUSD!$D$57:'TUSD'!$D$103,$I$2,TUSD!$BD$57:'TUSD'!$BD$103),IF($C$2&lt;&gt;"Não se aplica",SUMIF(TUSD!$C$57:'TUSD'!$C$103,$I$2,TUSD!$BD$57:'TUSD'!$BD$103),IF($B$2&lt;&gt;"Não se aplica",SUMIF(TUSD!$B$57:'TUSD'!$B$103,$I$2,TUSD!$BD$57:'TUSD'!$BD$103),SUMIF(TUSD!$A$57:'TUSD'!$A$103,$I$2,TUSD!$BD$57:'TUSD'!$BD$103)))))))</f>
        <v>0</v>
      </c>
      <c r="X8" s="45">
        <f t="shared" si="0"/>
        <v>0</v>
      </c>
      <c r="AD8" s="14" t="s">
        <v>80</v>
      </c>
      <c r="AG8" s="14" t="s">
        <v>74</v>
      </c>
    </row>
    <row r="9" spans="1:33" x14ac:dyDescent="0.2">
      <c r="A9" s="14" t="s">
        <v>884</v>
      </c>
      <c r="B9" s="45">
        <f>IF($G$2&lt;&gt;"Não se aplica",SUMIF(TUSD!$G$57:'TUSD'!$G$103,$I$2,TUSD!$L$57:'TUSD'!$L$103),IF($F$2&lt;&gt;"Não se aplica",SUMIF(TUSD!$F$57:'TUSD'!$F$103,$I$2,TUSD!$L$57:'TUSD'!$L$103),IF($E$2&lt;&gt;"Não se aplica",SUMIF(TUSD!$E$57:'TUSD'!$E$103,$I$2,TUSD!$L$57:'TUSD'!$L$103),IF($D$2&lt;&gt;"Não se aplica",SUMIF(TUSD!$D$57:'TUSD'!$D$103,$I$2,TUSD!$L$57:'TUSD'!$L$103),IF($C$2&lt;&gt;"Não se aplica",SUMIF(TUSD!$C$57:'TUSD'!$C$103,$I$2,TUSD!$L$57:'TUSD'!$L$103),IF($B$2&lt;&gt;"Não se aplica",SUMIF(TUSD!$B$57:'TUSD'!$B$103,$I$2,TUSD!$L$57:'TUSD'!$L$103),SUMIF(TUSD!$A$57:'TUSD'!$A$103,$I$2,TUSD!$L$57:'TUSD'!$L$103)))))))</f>
        <v>7.8171150983210611E-7</v>
      </c>
      <c r="C9" s="45">
        <f>IF($G$2&lt;&gt;"Não se aplica",SUMIF(TUSD!$G$57:'TUSD'!$G$103,$I$2,TUSD!$M$57:'TUSD'!$M$103),IF($F$2&lt;&gt;"Não se aplica",SUMIF(TUSD!$F$57:'TUSD'!$F$103,$I$2,TUSD!$M$57:'TUSD'!$M$103),IF($E$2&lt;&gt;"Não se aplica",SUMIF(TUSD!$E$57:'TUSD'!$E$103,$I$2,TUSD!$M$57:'TUSD'!$M$103),IF($D$2&lt;&gt;"Não se aplica",SUMIF(TUSD!$D$57:'TUSD'!$D$103,$I$2,TUSD!$M$57:'TUSD'!$M$103),IF($C$2&lt;&gt;"Não se aplica",SUMIF(TUSD!$C$57:'TUSD'!$C$103,$I$2,TUSD!$M$57:'TUSD'!$M$103),IF($B$2&lt;&gt;"Não se aplica",SUMIF(TUSD!$B$57:'TUSD'!$B$103,$I$2,TUSD!$M$57:'TUSD'!$M$103),SUMIF(TUSD!$A$57:'TUSD'!$A$103,$I$2,TUSD!$M$57:'TUSD'!$M$103)))))))</f>
        <v>2.6718235412786751E-7</v>
      </c>
      <c r="D9" s="45">
        <f ca="1">IF($G$2&lt;&gt;"Não se aplica",SUMIF(TUSD!$G$57:'TUSD'!$G$103,$I$2,TUSD!$N$57:'TUSD'!$N$103),IF($F$2&lt;&gt;"Não se aplica",SUMIF(TUSD!$F$57:'TUSD'!$F$103,$I$2,TUSD!$N$57:'TUSD'!$N$103),IF($E$2&lt;&gt;"Não se aplica",SUMIF(TUSD!$E$57:'TUSD'!$E$103,$I$2,TUSD!$N$57:'TUSD'!$N$103),IF($D$2&lt;&gt;"Não se aplica",SUMIF(TUSD!$D$57:'TUSD'!$D$103,$I$2,TUSD!$N$57:'TUSD'!$N$103),IF($C$2&lt;&gt;"Não se aplica",SUMIF(TUSD!$C$57:'TUSD'!$C$103,$I$2,TUSD!$N$57:'TUSD'!$N$103),IF($B$2&lt;&gt;"Não se aplica",SUMIF(TUSD!$B$57:'TUSD'!$B$103,$I$2,TUSD!$N$57:'TUSD'!$N$103),SUMIF(TUSD!$A$57:'TUSD'!$A$103,$I$2,TUSD!$N$57:'TUSD'!$N$103)))))))</f>
        <v>0</v>
      </c>
      <c r="E9" s="45">
        <f>IF($G$2&lt;&gt;"Não se aplica",SUMIF(TUSD!$G$57:'TUSD'!$G$103,$I$2,TUSD!$O$57:'TUSD'!$O$103),IF($F$2&lt;&gt;"Não se aplica",SUMIF(TUSD!$F$57:'TUSD'!$F$103,$I$2,TUSD!$O$57:'TUSD'!$O$103),IF($E$2&lt;&gt;"Não se aplica",SUMIF(TUSD!$E$57:'TUSD'!$E$103,$I$2,TUSD!$O$57:'TUSD'!$O$103),IF($D$2&lt;&gt;"Não se aplica",SUMIF(TUSD!$D$57:'TUSD'!$D$103,$I$2,TUSD!$O$57:'TUSD'!$O$103),IF($C$2&lt;&gt;"Não se aplica",SUMIF(TUSD!$C$57:'TUSD'!$C$103,$I$2,TUSD!$O$57:'TUSD'!$O$103),IF($B$2&lt;&gt;"Não se aplica",SUMIF(TUSD!$B$57:'TUSD'!$B$103,$I$2,TUSD!$O$57:'TUSD'!$O$103),SUMIF(TUSD!$A$57:'TUSD'!$A$103,$I$2,TUSD!$O$57:'TUSD'!$O$103)))))))</f>
        <v>0</v>
      </c>
      <c r="F9" s="45">
        <f>IF($G$2&lt;&gt;"Não se aplica",SUMIF(TUSD!$G$57:'TUSD'!$G$103,$I$2,TUSD!$P$57:'TUSD'!$P$103),IF($F$2&lt;&gt;"Não se aplica",SUMIF(TUSD!$F$57:'TUSD'!$F$103,$I$2,TUSD!$P$57:'TUSD'!$P$103),IF($E$2&lt;&gt;"Não se aplica",SUMIF(TUSD!$E$57:'TUSD'!$E$103,$I$2,TUSD!$P$57:'TUSD'!$P$103),IF($D$2&lt;&gt;"Não se aplica",SUMIF(TUSD!$D$57:'TUSD'!$D$103,$I$2,TUSD!$P$57:'TUSD'!$P$103),IF($C$2&lt;&gt;"Não se aplica",SUMIF(TUSD!$C$57:'TUSD'!$C$103,$I$2,TUSD!$P$57:'TUSD'!$P$103),IF($B$2&lt;&gt;"Não se aplica",SUMIF(TUSD!$B$57:'TUSD'!$B$103,$I$2,TUSD!$P$57:'TUSD'!$P$103),SUMIF(TUSD!$A$57:'TUSD'!$A$103,$I$2,TUSD!$P$57:'TUSD'!$P$103)))))))</f>
        <v>0</v>
      </c>
      <c r="G9" s="45">
        <f>IF($G$2&lt;&gt;"Não se aplica",SUMIF(TUSD!$G$57:'TUSD'!$G$103,$I$2,TUSD!$Q$57:'TUSD'!$Q$103),IF($F$2&lt;&gt;"Não se aplica",SUMIF(TUSD!$F$57:'TUSD'!$F$103,$I$2,TUSD!$Q$57:'TUSD'!$Q$103),IF($E$2&lt;&gt;"Não se aplica",SUMIF(TUSD!$E$57:'TUSD'!$E$103,$I$2,TUSD!$Q$57:'TUSD'!$Q$103),IF($D$2&lt;&gt;"Não se aplica",SUMIF(TUSD!$D$57:'TUSD'!$D$103,$I$2,TUSD!$Q$57:'TUSD'!$Q$103),IF($C$2&lt;&gt;"Não se aplica",SUMIF(TUSD!$C$57:'TUSD'!$C$103,$I$2,TUSD!$Q$57:'TUSD'!$Q$103),IF($B$2&lt;&gt;"Não se aplica",SUMIF(TUSD!$B$57:'TUSD'!$B$103,$I$2,TUSD!$Q$57:'TUSD'!$Q$103),SUMIF(TUSD!$A$57:'TUSD'!$A$103,$I$2,TUSD!$Q$57:'TUSD'!$Q$103)))))))</f>
        <v>2.2397904010508524E-6</v>
      </c>
      <c r="H9" s="45">
        <f>IF($G$2&lt;&gt;"Não se aplica",SUMIF(TUSD!$G$57:'TUSD'!$G$103,$I$2,TUSD!$R$57:'TUSD'!$R$103),IF($F$2&lt;&gt;"Não se aplica",SUMIF(TUSD!$F$57:'TUSD'!$F$103,$I$2,TUSD!$R$57:'TUSD'!$R$103),IF($E$2&lt;&gt;"Não se aplica",SUMIF(TUSD!$E$57:'TUSD'!$E$103,$I$2,TUSD!$R$57:'TUSD'!$R$103),IF($D$2&lt;&gt;"Não se aplica",SUMIF(TUSD!$D$57:'TUSD'!$D$103,$I$2,TUSD!$R$57:'TUSD'!$R$103),IF($C$2&lt;&gt;"Não se aplica",SUMIF(TUSD!$C$57:'TUSD'!$C$103,$I$2,TUSD!$R$57:'TUSD'!$R$103),IF($B$2&lt;&gt;"Não se aplica",SUMIF(TUSD!$B$57:'TUSD'!$B$103,$I$2,TUSD!$R$57:'TUSD'!$R$103),SUMIF(TUSD!$A$57:'TUSD'!$A$103,$I$2,TUSD!$R$57:'TUSD'!$R$103)))))))</f>
        <v>4.2180986484585009E-7</v>
      </c>
      <c r="I9" s="45">
        <f>IF($G$2&lt;&gt;"Não se aplica",SUMIF(TUSD!$G$57:'TUSD'!$G$103,$I$2,TUSD!$S$57:'TUSD'!$S$103),IF($F$2&lt;&gt;"Não se aplica",SUMIF(TUSD!$F$57:'TUSD'!$F$103,$I$2,TUSD!$S$57:'TUSD'!$S$103),IF($E$2&lt;&gt;"Não se aplica",SUMIF(TUSD!$E$57:'TUSD'!$E$103,$I$2,TUSD!$S$57:'TUSD'!$S$103),IF($D$2&lt;&gt;"Não se aplica",SUMIF(TUSD!$D$57:'TUSD'!$D$103,$I$2,TUSD!$S$57:'TUSD'!$S$103),IF($C$2&lt;&gt;"Não se aplica",SUMIF(TUSD!$C$57:'TUSD'!$C$103,$I$2,TUSD!$S$57:'TUSD'!$S$103),IF($B$2&lt;&gt;"Não se aplica",SUMIF(TUSD!$B$57:'TUSD'!$B$103,$I$2,TUSD!$S$57:'TUSD'!$S$103),SUMIF(TUSD!$A$57:'TUSD'!$A$103,$I$2,TUSD!$S$57:'TUSD'!$S$103)))))))</f>
        <v>0</v>
      </c>
      <c r="J9" s="45">
        <f>IF($G$2&lt;&gt;"Não se aplica",SUMIF(TUSD!$G$57:'TUSD'!$G$103,$I$2,TUSD!$T$57:'TUSD'!$T$103),IF($F$2&lt;&gt;"Não se aplica",SUMIF(TUSD!$F$57:'TUSD'!$F$103,$I$2,TUSD!$T$57:'TUSD'!$T$103),IF($E$2&lt;&gt;"Não se aplica",SUMIF(TUSD!$E$57:'TUSD'!$E$103,$I$2,TUSD!$T$57:'TUSD'!$T$103),IF($D$2&lt;&gt;"Não se aplica",SUMIF(TUSD!$D$57:'TUSD'!$D$103,$I$2,TUSD!$T$57:'TUSD'!$T$103),IF($C$2&lt;&gt;"Não se aplica",SUMIF(TUSD!$C$57:'TUSD'!$C$103,$I$2,TUSD!$T$57:'TUSD'!$T$103),IF($B$2&lt;&gt;"Não se aplica",SUMIF(TUSD!$B$57:'TUSD'!$B$103,$I$2,TUSD!$T$57:'TUSD'!$T$103),SUMIF(TUSD!$A$57:'TUSD'!$A$103,$I$2,TUSD!$T$57:'TUSD'!$T$103)))))))</f>
        <v>0</v>
      </c>
      <c r="K9" s="45">
        <f>IF($G$2&lt;&gt;"Não se aplica",SUMIF(TUSD!$G$57:'TUSD'!$G$103,$I$2,TUSD!$U$57:'TUSD'!$U$103),IF($F$2&lt;&gt;"Não se aplica",SUMIF(TUSD!$F$57:'TUSD'!$F$103,$I$2,TUSD!$U$57:'TUSD'!$U$103),IF($E$2&lt;&gt;"Não se aplica",SUMIF(TUSD!$E$57:'TUSD'!$E$103,$I$2,TUSD!$U$57:'TUSD'!$U$103),IF($D$2&lt;&gt;"Não se aplica",SUMIF(TUSD!$D$57:'TUSD'!$D$103,$I$2,TUSD!$U$57:'TUSD'!$U$103),IF($C$2&lt;&gt;"Não se aplica",SUMIF(TUSD!$C$57:'TUSD'!$C$103,$I$2,TUSD!$U$57:'TUSD'!$U$103),IF($B$2&lt;&gt;"Não se aplica",SUMIF(TUSD!$B$57:'TUSD'!$B$103,$I$2,TUSD!$U$57:'TUSD'!$U$103),SUMIF(TUSD!$A$57:'TUSD'!$A$103,$I$2,TUSD!$U$57:'TUSD'!$U$103)))))))</f>
        <v>0</v>
      </c>
      <c r="L9" s="45">
        <f>IF($G$2&lt;&gt;"Não se aplica",SUMIF(TUSD!$G$57:'TUSD'!$G$103,$I$2,TUSD!$V$57:'TUSD'!$V$103),IF($F$2&lt;&gt;"Não se aplica",SUMIF(TUSD!$F$57:'TUSD'!$F$103,$I$2,TUSD!$V$57:'TUSD'!$V$103),IF($E$2&lt;&gt;"Não se aplica",SUMIF(TUSD!$E$57:'TUSD'!$E$103,$I$2,TUSD!$V$57:'TUSD'!$V$103),IF($D$2&lt;&gt;"Não se aplica",SUMIF(TUSD!$D$57:'TUSD'!$D$103,$I$2,TUSD!$V$57:'TUSD'!$V$103),IF($C$2&lt;&gt;"Não se aplica",SUMIF(TUSD!$C$57:'TUSD'!$C$103,$I$2,TUSD!$V$57:'TUSD'!$V$103),IF($B$2&lt;&gt;"Não se aplica",SUMIF(TUSD!$B$57:'TUSD'!$B$103,$I$2,TUSD!$V$57:'TUSD'!$V$103),SUMIF(TUSD!$A$57:'TUSD'!$A$103,$I$2,TUSD!$V$57:'TUSD'!$V$103)))))))</f>
        <v>0</v>
      </c>
      <c r="M9" s="45">
        <f>IF($G$2&lt;&gt;"Não se aplica",SUMIF(TUSD!$G$57:'TUSD'!$G$103,$I$2,TUSD!$W$57:'TUSD'!$W$103),IF($F$2&lt;&gt;"Não se aplica",SUMIF(TUSD!$F$57:'TUSD'!$F$103,$I$2,TUSD!$W$57:'TUSD'!$W$103),IF($E$2&lt;&gt;"Não se aplica",SUMIF(TUSD!$E$57:'TUSD'!$E$103,$I$2,TUSD!$W$57:'TUSD'!$W$103),IF($D$2&lt;&gt;"Não se aplica",SUMIF(TUSD!$D$57:'TUSD'!$D$103,$I$2,TUSD!$W$57:'TUSD'!$W$103),IF($C$2&lt;&gt;"Não se aplica",SUMIF(TUSD!$C$57:'TUSD'!$C$103,$I$2,TUSD!$W$57:'TUSD'!$W$103),IF($B$2&lt;&gt;"Não se aplica",SUMIF(TUSD!$B$57:'TUSD'!$B$103,$I$2,TUSD!$W$57:'TUSD'!$W$103),SUMIF(TUSD!$A$57:'TUSD'!$A$103,$I$2,TUSD!$W$57:'TUSD'!$W$103)))))))</f>
        <v>0</v>
      </c>
      <c r="N9" s="45">
        <f>IF($G$2&lt;&gt;"Não se aplica",SUMIF(TUSD!$G$57:'TUSD'!$G$103,$I$2,TUSD!$X$57:'TUSD'!$X$103),IF($F$2&lt;&gt;"Não se aplica",SUMIF(TUSD!$F$57:'TUSD'!$F$103,$I$2,TUSD!$X$57:'TUSD'!$X$103),IF($E$2&lt;&gt;"Não se aplica",SUMIF(TUSD!$E$57:'TUSD'!$E$103,$I$2,TUSD!$X$57:'TUSD'!$X$103),IF($D$2&lt;&gt;"Não se aplica",SUMIF(TUSD!$D$57:'TUSD'!$D$103,$I$2,TUSD!$X$57:'TUSD'!$X$103),IF($C$2&lt;&gt;"Não se aplica",SUMIF(TUSD!$C$57:'TUSD'!$C$103,$I$2,TUSD!$X$57:'TUSD'!$X$103),IF($B$2&lt;&gt;"Não se aplica",SUMIF(TUSD!$B$57:'TUSD'!$B$103,$I$2,TUSD!$X$57:'TUSD'!$X$103),SUMIF(TUSD!$A$57:'TUSD'!$A$103,$I$2,TUSD!$X$57:'TUSD'!$X$103)))))))</f>
        <v>2.4012161638681498E-5</v>
      </c>
      <c r="O9" s="45">
        <f>IF($G$2&lt;&gt;"Não se aplica",SUMIF(TUSD!$G$57:'TUSD'!$G$103,$I$2,TUSD!$Y$57:'TUSD'!$Y$103),IF($F$2&lt;&gt;"Não se aplica",SUMIF(TUSD!$F$57:'TUSD'!$F$103,$I$2,TUSD!$Y$57:'TUSD'!$Y$103),IF($E$2&lt;&gt;"Não se aplica",SUMIF(TUSD!$E$57:'TUSD'!$E$103,$I$2,TUSD!$Y$57:'TUSD'!$Y$103),IF($D$2&lt;&gt;"Não se aplica",SUMIF(TUSD!$D$57:'TUSD'!$D$103,$I$2,TUSD!$Y$57:'TUSD'!$Y$103),IF($C$2&lt;&gt;"Não se aplica",SUMIF(TUSD!$C$57:'TUSD'!$C$103,$I$2,TUSD!$Y$57:'TUSD'!$Y$103),IF($B$2&lt;&gt;"Não se aplica",SUMIF(TUSD!$B$57:'TUSD'!$B$103,$I$2,TUSD!$Y$57:'TUSD'!$Y$103),SUMIF(TUSD!$A$57:'TUSD'!$A$103,$I$2,TUSD!$Y$57:'TUSD'!$Y$103)))))))</f>
        <v>0</v>
      </c>
      <c r="P9" s="45">
        <f>IF($G$2&lt;&gt;"Não se aplica",SUMIF(TUSD!$G$57:'TUSD'!$G$103,$I$2,TUSD!$Z$57:'TUSD'!$Z$103),IF($F$2&lt;&gt;"Não se aplica",SUMIF(TUSD!$F$57:'TUSD'!$F$103,$I$2,TUSD!$Z$57:'TUSD'!$Z$103),IF($E$2&lt;&gt;"Não se aplica",SUMIF(TUSD!$E$57:'TUSD'!$E$103,$I$2,TUSD!$Z$57:'TUSD'!$Z$103),IF($D$2&lt;&gt;"Não se aplica",SUMIF(TUSD!$D$57:'TUSD'!$D$103,$I$2,TUSD!$Z$57:'TUSD'!$Z$103),IF($C$2&lt;&gt;"Não se aplica",SUMIF(TUSD!$C$57:'TUSD'!$C$103,$I$2,TUSD!$Z$57:'TUSD'!$Z$103),IF($B$2&lt;&gt;"Não se aplica",SUMIF(TUSD!$B$57:'TUSD'!$B$103,$I$2,TUSD!$Z$57:'TUSD'!$Z$103),SUMIF(TUSD!$A$57:'TUSD'!$A$103,$I$2,TUSD!$Z$57:'TUSD'!$Z$103)))))))</f>
        <v>0</v>
      </c>
      <c r="Q9" s="45">
        <f>IF($G$2&lt;&gt;"Não se aplica",SUMIF(TUSD!$G$57:'TUSD'!$G$103,$I$2,TUSD!$AA$57:'TUSD'!$AA$103),IF($F$2&lt;&gt;"Não se aplica",SUMIF(TUSD!$F$57:'TUSD'!$F$103,$I$2,TUSD!$AA$57:'TUSD'!$AA$103),IF($E$2&lt;&gt;"Não se aplica",SUMIF(TUSD!$E$57:'TUSD'!$E$103,$I$2,TUSD!$AA$57:'TUSD'!$AA$103),IF($D$2&lt;&gt;"Não se aplica",SUMIF(TUSD!$D$57:'TUSD'!$D$103,$I$2,TUSD!$AA$57:'TUSD'!$AA$103),IF($C$2&lt;&gt;"Não se aplica",SUMIF(TUSD!$C$57:'TUSD'!$C$103,$I$2,TUSD!$AA$57:'TUSD'!$AA$103),IF($B$2&lt;&gt;"Não se aplica",SUMIF(TUSD!$B$57:'TUSD'!$B$103,$I$2,TUSD!$AA$57:'TUSD'!$AA$103),SUMIF(TUSD!$A$57:'TUSD'!$A$103,$I$2,TUSD!$AA$57:'TUSD'!$AA$103)))))))</f>
        <v>2.1600706230244834E-5</v>
      </c>
      <c r="R9" s="45">
        <f ca="1">IF($G$2&lt;&gt;"Não se aplica",SUMIF(TUSD!$G$57:'TUSD'!$G$103,$I$2,TUSD!$AB$57:'TUSD'!$AB$103),IF($F$2&lt;&gt;"Não se aplica",SUMIF(TUSD!$F$57:'TUSD'!$F$103,$I$2,TUSD!$AB$57:'TUSD'!$AB$103),IF($E$2&lt;&gt;"Não se aplica",SUMIF(TUSD!$E$57:'TUSD'!$E$103,$I$2,TUSD!$AB$57:'TUSD'!$AB$103),IF($D$2&lt;&gt;"Não se aplica",SUMIF(TUSD!$D$57:'TUSD'!$D$103,$I$2,TUSD!$AB$57:'TUSD'!$AB$103),IF($C$2&lt;&gt;"Não se aplica",SUMIF(TUSD!$C$57:'TUSD'!$C$103,$I$2,TUSD!$AB$57:'TUSD'!$AB$103),IF($B$2&lt;&gt;"Não se aplica",SUMIF(TUSD!$B$57:'TUSD'!$B$103,$I$2,TUSD!$AB$57:'TUSD'!$AB$103),SUMIF(TUSD!$A$57:'TUSD'!$A$103,$I$2,TUSD!$AB$57:'TUSD'!$AB$103)))))))</f>
        <v>0</v>
      </c>
      <c r="S9" s="45">
        <f ca="1">IF($G$2&lt;&gt;"Não se aplica",SUMIF(TUSD!$G$57:'TUSD'!$G$103,$I$2,TUSD!$AC$57:'TUSD'!$AC$103),IF($F$2&lt;&gt;"Não se aplica",SUMIF(TUSD!$F$57:'TUSD'!$F$103,$I$2,TUSD!$AC$57:'TUSD'!$AC$103),IF($E$2&lt;&gt;"Não se aplica",SUMIF(TUSD!$E$57:'TUSD'!$E$103,$I$2,TUSD!$AC$57:'TUSD'!$AC$103),IF($D$2&lt;&gt;"Não se aplica",SUMIF(TUSD!$D$57:'TUSD'!$D$103,$I$2,TUSD!$AC$57:'TUSD'!$AC$103),IF($C$2&lt;&gt;"Não se aplica",SUMIF(TUSD!$C$57:'TUSD'!$C$103,$I$2,TUSD!$AC$57:'TUSD'!$AC$103),IF($B$2&lt;&gt;"Não se aplica",SUMIF(TUSD!$B$57:'TUSD'!$B$103,$I$2,TUSD!$AC$57:'TUSD'!$AC$103),SUMIF(TUSD!$A$57:'TUSD'!$A$103,$I$2,TUSD!$AC$57:'TUSD'!$AC$103)))))))</f>
        <v>0</v>
      </c>
      <c r="T9" s="45">
        <f>IF($G$2&lt;&gt;"Não se aplica",SUMIF(TUSD!$G$57:'TUSD'!$G$103,$I$2,TUSD!$AD$57:'TUSD'!$AD$103),IF($F$2&lt;&gt;"Não se aplica",SUMIF(TUSD!$F$57:'TUSD'!$F$103,$I$2,TUSD!$AD$57:'TUSD'!$AD$103),IF($E$2&lt;&gt;"Não se aplica",SUMIF(TUSD!$E$57:'TUSD'!$E$103,$I$2,TUSD!$AD$57:'TUSD'!$AD$103),IF($D$2&lt;&gt;"Não se aplica",SUMIF(TUSD!$D$57:'TUSD'!$D$103,$I$2,TUSD!$AD$57:'TUSD'!$AD$103),IF($C$2&lt;&gt;"Não se aplica",SUMIF(TUSD!$C$57:'TUSD'!$C$103,$I$2,TUSD!$AD$57:'TUSD'!$AD$103),IF($B$2&lt;&gt;"Não se aplica",SUMIF(TUSD!$B$57:'TUSD'!$B$103,$I$2,TUSD!$AD$57:'TUSD'!$AD$103),SUMIF(TUSD!$A$57:'TUSD'!$A$103,$I$2,TUSD!$AD$57:'TUSD'!$AD$103)))))))</f>
        <v>2.8939706077549346E-7</v>
      </c>
      <c r="U9" s="45">
        <f>IF($G$2&lt;&gt;"Não se aplica",SUMIF(TUSD!$G$57:'TUSD'!$G$103,$I$2,TUSD!$AE$57:'TUSD'!$AE$103),IF($F$2&lt;&gt;"Não se aplica",SUMIF(TUSD!$F$57:'TUSD'!$F$103,$I$2,TUSD!$AE$57:'TUSD'!$AE$103),IF($E$2&lt;&gt;"Não se aplica",SUMIF(TUSD!$E$57:'TUSD'!$E$103,$I$2,TUSD!$AE$57:'TUSD'!$AE$103),IF($D$2&lt;&gt;"Não se aplica",SUMIF(TUSD!$D$57:'TUSD'!$D$103,$I$2,TUSD!$AE$57:'TUSD'!$AE$103),IF($C$2&lt;&gt;"Não se aplica",SUMIF(TUSD!$C$57:'TUSD'!$C$103,$I$2,TUSD!$AE$57:'TUSD'!$AE$103),IF($B$2&lt;&gt;"Não se aplica",SUMIF(TUSD!$B$57:'TUSD'!$B$103,$I$2,TUSD!$AE$57:'TUSD'!$AE$103),SUMIF(TUSD!$A$57:'TUSD'!$A$103,$I$2,TUSD!$AE$57:'TUSD'!$AE$103)))))))</f>
        <v>0</v>
      </c>
      <c r="V9" s="45">
        <f ca="1">IF($G$2&lt;&gt;"Não se aplica",SUMIF(TUSD!$G$57:'TUSD'!$G$103,$I$2,TUSD!$AF$57:'TUSD'!$AF$103),IF($F$2&lt;&gt;"Não se aplica",SUMIF(TUSD!$F$57:'TUSD'!$F$103,$I$2,TUSD!$AF$57:'TUSD'!$AF$103),IF($E$2&lt;&gt;"Não se aplica",SUMIF(TUSD!$E$57:'TUSD'!$E$103,$I$2,TUSD!$AF$57:'TUSD'!$AF$103),IF($D$2&lt;&gt;"Não se aplica",SUMIF(TUSD!$D$57:'TUSD'!$D$103,$I$2,TUSD!$AF$57:'TUSD'!$AF$103),IF($C$2&lt;&gt;"Não se aplica",SUMIF(TUSD!$C$57:'TUSD'!$C$103,$I$2,TUSD!$AF$57:'TUSD'!$AF$103),IF($B$2&lt;&gt;"Não se aplica",SUMIF(TUSD!$B$57:'TUSD'!$B$103,$I$2,TUSD!$AF$57:'TUSD'!$AF$103),SUMIF(TUSD!$A$57:'TUSD'!$A$103,$I$2,TUSD!$AF$57:'TUSD'!$AF$103)))))))</f>
        <v>0</v>
      </c>
      <c r="W9" s="45">
        <f ca="1">IF($G$2&lt;&gt;"Não se aplica",SUMIF(TUSD!$G$57:'TUSD'!$G$103,$I$2,TUSD!$AG$57:'TUSD'!$AG$103),IF($F$2&lt;&gt;"Não se aplica",SUMIF(TUSD!$F$57:'TUSD'!$F$103,$I$2,TUSD!$AG$57:'TUSD'!$AG$103),IF($E$2&lt;&gt;"Não se aplica",SUMIF(TUSD!$E$57:'TUSD'!$E$103,$I$2,TUSD!$AG$57:'TUSD'!$AG$103),IF($D$2&lt;&gt;"Não se aplica",SUMIF(TUSD!$D$57:'TUSD'!$D$103,$I$2,TUSD!$AG$57:'TUSD'!$AG$103),IF($C$2&lt;&gt;"Não se aplica",SUMIF(TUSD!$C$57:'TUSD'!$C$103,$I$2,TUSD!$AG$57:'TUSD'!$AG$103),IF($B$2&lt;&gt;"Não se aplica",SUMIF(TUSD!$B$57:'TUSD'!$B$103,$I$2,TUSD!$AG$57:'TUSD'!$AG$103),SUMIF(TUSD!$A$57:'TUSD'!$A$103,$I$2,TUSD!$AG$57:'TUSD'!$AG$103)))))))</f>
        <v>0</v>
      </c>
      <c r="X9" s="45">
        <f t="shared" ca="1" si="0"/>
        <v>4.96127590595585E-5</v>
      </c>
      <c r="AD9" s="14" t="s">
        <v>36</v>
      </c>
    </row>
    <row r="10" spans="1:33" x14ac:dyDescent="0.2">
      <c r="A10" s="14" t="s">
        <v>881</v>
      </c>
      <c r="B10" s="45">
        <f>SUMIF(TUSD!$A$57:'TUSD'!$A$103,$A$2,TUSD!$AI$57:'TUSD'!$AI$103)</f>
        <v>0</v>
      </c>
      <c r="C10" s="45">
        <f>SUMIF(TUSD!$A$57:'TUSD'!$A$103,$A$2,TUSD!$AJ$57:'TUSD'!$AJ$103)</f>
        <v>0</v>
      </c>
      <c r="D10" s="45">
        <f>SUMIF(TUSD!$A$57:'TUSD'!$A$103,$A$2,TUSD!$AK$57:'TUSD'!$AK$103)</f>
        <v>0</v>
      </c>
      <c r="E10" s="45">
        <f>SUMIF(TUSD!$A$57:'TUSD'!$A$103,$A$2,TUSD!$AL$57:'TUSD'!$AL$103)</f>
        <v>0</v>
      </c>
      <c r="F10" s="45">
        <f>SUMIF(TUSD!$A$57:'TUSD'!$A$103,$A$2,TUSD!$AM$57:'TUSD'!$AM$103)</f>
        <v>0</v>
      </c>
      <c r="G10" s="45">
        <f>SUMIF(TUSD!$A$57:'TUSD'!$A$103,$A$2,TUSD!$AN$57:'TUSD'!$AN$103)</f>
        <v>0</v>
      </c>
      <c r="H10" s="45">
        <f>SUMIF(TUSD!$A$57:'TUSD'!$A$103,$A$2,TUSD!$AO$57:'TUSD'!$AO$103)</f>
        <v>0</v>
      </c>
      <c r="I10" s="45">
        <f>SUMIF(TUSD!$A$57:'TUSD'!$A$103,$A$2,TUSD!$AP$57:'TUSD'!$AP$103)</f>
        <v>0</v>
      </c>
      <c r="J10" s="45">
        <f>SUMIF(TUSD!$A$57:'TUSD'!$A$103,$A$2,TUSD!$AQ$57:'TUSD'!$AQ$103)</f>
        <v>0</v>
      </c>
      <c r="K10" s="45">
        <f>SUMIF(TUSD!$A$57:'TUSD'!$A$103,$A$2,TUSD!$AR$57:'TUSD'!$AR$103)</f>
        <v>0</v>
      </c>
      <c r="L10" s="45">
        <f>SUMIF(TUSD!$A$57:'TUSD'!$A$103,$A$2,TUSD!$AS$57:'TUSD'!$AS$103)</f>
        <v>0</v>
      </c>
      <c r="M10" s="45">
        <f>SUMIF(TUSD!$A$57:'TUSD'!$A$103,$A$2,TUSD!$AT$57:'TUSD'!$AT$103)</f>
        <v>0</v>
      </c>
      <c r="N10" s="45">
        <f>SUMIF(TUSD!$A$57:'TUSD'!$A$103,$A$2,TUSD!$AU$57:'TUSD'!$AU$103)</f>
        <v>0</v>
      </c>
      <c r="O10" s="45">
        <f>SUMIF(TUSD!$A$57:'TUSD'!$A$103,$A$2,TUSD!$AV$57:'TUSD'!$AV$103)</f>
        <v>0</v>
      </c>
      <c r="P10" s="45">
        <f>SUMIF(TUSD!$A$57:'TUSD'!$A$103,$A$2,TUSD!$AW$57:'TUSD'!$AW$103)</f>
        <v>0</v>
      </c>
      <c r="Q10" s="45">
        <f>SUMIF(TUSD!$A$57:'TUSD'!$A$103,$A$2,TUSD!$AX$57:'TUSD'!$AX$103)</f>
        <v>0</v>
      </c>
      <c r="R10" s="45">
        <f>SUMIF(TUSD!$A$57:'TUSD'!$A$103,$A$2,TUSD!$AY$57:'TUSD'!$AY$103)</f>
        <v>0</v>
      </c>
      <c r="S10" s="45">
        <f>SUMIF(TUSD!$A$57:'TUSD'!$A$103,$A$2,TUSD!$AZ$57:'TUSD'!$AZ$103)</f>
        <v>0</v>
      </c>
      <c r="T10" s="45">
        <f>SUMIF(TUSD!$A$57:'TUSD'!$A$103,$A$2,TUSD!$BA$57:'TUSD'!$BA$103)</f>
        <v>0</v>
      </c>
      <c r="U10" s="45">
        <f>SUMIF(TUSD!$A$57:'TUSD'!$A$103,$A$2,TUSD!$BB$57:'TUSD'!$BB$103)</f>
        <v>0</v>
      </c>
      <c r="V10" s="45">
        <f>SUMIF(TUSD!$A$57:'TUSD'!$A$103,$A$2,TUSD!$BC$57:'TUSD'!$BC$103)</f>
        <v>0</v>
      </c>
      <c r="W10" s="45">
        <f>SUMIF(TUSD!$A$57:'TUSD'!$A$103,$A$2,TUSD!$BD$57:'TUSD'!$BD$103)</f>
        <v>0</v>
      </c>
      <c r="X10" s="45">
        <f t="shared" si="0"/>
        <v>0</v>
      </c>
      <c r="AD10" s="14" t="s">
        <v>81</v>
      </c>
    </row>
    <row r="11" spans="1:33" x14ac:dyDescent="0.2">
      <c r="A11" s="14" t="s">
        <v>882</v>
      </c>
      <c r="B11" s="45">
        <f>SUMIF(TUSD!$A$57:'TUSD'!$A$103,$A$2,TUSD!$L$57:'TUSD'!$L$103)</f>
        <v>7.8171150983210611E-7</v>
      </c>
      <c r="C11" s="45">
        <f>SUMIF(TUSD!$A$57:'TUSD'!$A$103,$A$2,TUSD!$M$57:'TUSD'!$M$103)</f>
        <v>2.6718235412786751E-7</v>
      </c>
      <c r="D11" s="45">
        <f ca="1">SUMIF(TUSD!$A$57:'TUSD'!$A$103,$A$2,TUSD!$N$57:'TUSD'!$N$103)</f>
        <v>0</v>
      </c>
      <c r="E11" s="45">
        <f>SUMIF(TUSD!$A$57:'TUSD'!$A$103,$A$2,TUSD!$O$57:'TUSD'!$O$103)</f>
        <v>0</v>
      </c>
      <c r="F11" s="45">
        <f>SUMIF(TUSD!$A$57:'TUSD'!$A$103,$A$2,TUSD!$P$57:'TUSD'!$P$103)</f>
        <v>0</v>
      </c>
      <c r="G11" s="45">
        <f>SUMIF(TUSD!$A$57:'TUSD'!$A$103,$A$2,TUSD!$Q$57:'TUSD'!$Q$103)</f>
        <v>2.2397904010508524E-6</v>
      </c>
      <c r="H11" s="45">
        <f>SUMIF(TUSD!$A$57:'TUSD'!$A$103,$A$2,TUSD!$R$57:'TUSD'!$R$103)</f>
        <v>4.2180986484585009E-7</v>
      </c>
      <c r="I11" s="45">
        <f>SUMIF(TUSD!$A$57:'TUSD'!$A$103,$A$2,TUSD!$S$57:'TUSD'!$S$103)</f>
        <v>0</v>
      </c>
      <c r="J11" s="45">
        <f>SUMIF(TUSD!$A$57:'TUSD'!$A$103,$A$2,TUSD!$T$57:'TUSD'!$T$103)</f>
        <v>0</v>
      </c>
      <c r="K11" s="45">
        <f>SUMIF(TUSD!$A$57:'TUSD'!$A$103,$A$2,TUSD!$U$57:'TUSD'!$U$103)</f>
        <v>0</v>
      </c>
      <c r="L11" s="45">
        <f>SUMIF(TUSD!$A$57:'TUSD'!$A$103,$A$2,TUSD!$V$57:'TUSD'!$V$103)</f>
        <v>0</v>
      </c>
      <c r="M11" s="45">
        <f>SUMIF(TUSD!$A$57:'TUSD'!$A$103,$A$2,TUSD!$W$57:'TUSD'!$W$103)</f>
        <v>0</v>
      </c>
      <c r="N11" s="45">
        <f>SUMIF(TUSD!$A$57:'TUSD'!$A$103,$A$2,TUSD!$X$57:'TUSD'!$X$103)</f>
        <v>2.4012161638681498E-5</v>
      </c>
      <c r="O11" s="45">
        <f>SUMIF(TUSD!$A$57:'TUSD'!$A$103,$A$2,TUSD!$Y$57:'TUSD'!$Y$103)</f>
        <v>0</v>
      </c>
      <c r="P11" s="45">
        <f>SUMIF(TUSD!$A$57:'TUSD'!$A$103,$A$2,TUSD!$Z$57:'TUSD'!$Z$103)</f>
        <v>0</v>
      </c>
      <c r="Q11" s="45">
        <f>SUMIF(TUSD!$A$57:'TUSD'!$A$103,$A$2,TUSD!$AA$57:'TUSD'!$AA$103)</f>
        <v>2.1600706230244834E-5</v>
      </c>
      <c r="R11" s="45">
        <f ca="1">SUMIF(TUSD!$A$57:'TUSD'!$A$103,$A$2,TUSD!$AB$57:'TUSD'!$AB$103)</f>
        <v>0</v>
      </c>
      <c r="S11" s="45">
        <f ca="1">SUMIF(TUSD!$A$57:'TUSD'!$A$103,$A$2,TUSD!$AC$57:'TUSD'!$AC$103)</f>
        <v>0</v>
      </c>
      <c r="T11" s="45">
        <f>SUMIF(TUSD!$A$57:'TUSD'!$A$103,$A$2,TUSD!$AD$57:'TUSD'!$AD$103)</f>
        <v>2.8939706077549346E-7</v>
      </c>
      <c r="U11" s="45">
        <f>SUMIF(TUSD!$A$57:'TUSD'!$A$103,$A$2,TUSD!$AE$57:'TUSD'!$AE$103)</f>
        <v>0</v>
      </c>
      <c r="V11" s="45">
        <f ca="1">SUMIF(TUSD!$A$57:'TUSD'!$A$103,$A$2,TUSD!$AF$57:'TUSD'!$AF$103)</f>
        <v>0</v>
      </c>
      <c r="W11" s="45">
        <f ca="1">SUMIF(TUSD!$A$57:'TUSD'!$A$103,$A$2,TUSD!$AG$57:'TUSD'!$AG$103)</f>
        <v>0</v>
      </c>
      <c r="X11" s="45">
        <f t="shared" ca="1" si="0"/>
        <v>4.96127590595585E-5</v>
      </c>
    </row>
    <row r="13" spans="1:33" x14ac:dyDescent="0.2">
      <c r="A13" s="14" t="s">
        <v>886</v>
      </c>
      <c r="B13" s="63">
        <f t="shared" ref="B13:X13" si="1">IF($X$6&lt;&gt;0,(B$7-B$6)/$X$6,0)</f>
        <v>-1.1566371710709255E-3</v>
      </c>
      <c r="C13" s="63">
        <f t="shared" si="1"/>
        <v>1.9574412771214489E-3</v>
      </c>
      <c r="D13" s="63">
        <f t="shared" ca="1" si="1"/>
        <v>0</v>
      </c>
      <c r="E13" s="63">
        <f t="shared" si="1"/>
        <v>0</v>
      </c>
      <c r="F13" s="63">
        <f t="shared" si="1"/>
        <v>0</v>
      </c>
      <c r="G13" s="63">
        <f t="shared" si="1"/>
        <v>0.10672734598481487</v>
      </c>
      <c r="H13" s="63">
        <f t="shared" si="1"/>
        <v>1.6645329083053412E-2</v>
      </c>
      <c r="I13" s="63">
        <f t="shared" si="1"/>
        <v>0</v>
      </c>
      <c r="J13" s="63">
        <f t="shared" si="1"/>
        <v>0</v>
      </c>
      <c r="K13" s="63">
        <f t="shared" si="1"/>
        <v>0</v>
      </c>
      <c r="L13" s="63">
        <f t="shared" si="1"/>
        <v>0</v>
      </c>
      <c r="M13" s="63">
        <f t="shared" si="1"/>
        <v>0</v>
      </c>
      <c r="N13" s="63">
        <f t="shared" si="1"/>
        <v>7.2003158272362075E-2</v>
      </c>
      <c r="O13" s="63">
        <f t="shared" si="1"/>
        <v>0</v>
      </c>
      <c r="P13" s="63">
        <f t="shared" si="1"/>
        <v>0</v>
      </c>
      <c r="Q13" s="63">
        <f t="shared" si="1"/>
        <v>0.11760187852482316</v>
      </c>
      <c r="R13" s="63">
        <f t="shared" ca="1" si="1"/>
        <v>0</v>
      </c>
      <c r="S13" s="63">
        <f t="shared" ca="1" si="1"/>
        <v>0</v>
      </c>
      <c r="T13" s="63">
        <f t="shared" si="1"/>
        <v>-1.3783892963296603E-2</v>
      </c>
      <c r="U13" s="63">
        <f t="shared" si="1"/>
        <v>0</v>
      </c>
      <c r="V13" s="63">
        <f t="shared" ca="1" si="1"/>
        <v>0</v>
      </c>
      <c r="W13" s="63">
        <f t="shared" ca="1" si="1"/>
        <v>0</v>
      </c>
      <c r="X13" s="63">
        <f t="shared" ca="1" si="1"/>
        <v>0.29999462300780727</v>
      </c>
    </row>
    <row r="14" spans="1:33" x14ac:dyDescent="0.2">
      <c r="A14" s="14" t="s">
        <v>887</v>
      </c>
      <c r="B14" s="63">
        <f t="shared" ref="B14:X14" si="2">IF($X$10&lt;&gt;0,(B$9-B$8)/$X$10,0)</f>
        <v>0</v>
      </c>
      <c r="C14" s="63">
        <f t="shared" si="2"/>
        <v>0</v>
      </c>
      <c r="D14" s="63">
        <f t="shared" si="2"/>
        <v>0</v>
      </c>
      <c r="E14" s="63">
        <f t="shared" si="2"/>
        <v>0</v>
      </c>
      <c r="F14" s="63">
        <f t="shared" si="2"/>
        <v>0</v>
      </c>
      <c r="G14" s="63">
        <f t="shared" si="2"/>
        <v>0</v>
      </c>
      <c r="H14" s="63">
        <f t="shared" si="2"/>
        <v>0</v>
      </c>
      <c r="I14" s="63">
        <f t="shared" si="2"/>
        <v>0</v>
      </c>
      <c r="J14" s="63">
        <f t="shared" si="2"/>
        <v>0</v>
      </c>
      <c r="K14" s="63">
        <f t="shared" si="2"/>
        <v>0</v>
      </c>
      <c r="L14" s="63">
        <f t="shared" si="2"/>
        <v>0</v>
      </c>
      <c r="M14" s="63">
        <f t="shared" si="2"/>
        <v>0</v>
      </c>
      <c r="N14" s="63">
        <f t="shared" si="2"/>
        <v>0</v>
      </c>
      <c r="O14" s="63">
        <f t="shared" si="2"/>
        <v>0</v>
      </c>
      <c r="P14" s="63">
        <f t="shared" si="2"/>
        <v>0</v>
      </c>
      <c r="Q14" s="63">
        <f t="shared" si="2"/>
        <v>0</v>
      </c>
      <c r="R14" s="63">
        <f t="shared" si="2"/>
        <v>0</v>
      </c>
      <c r="S14" s="63">
        <f t="shared" si="2"/>
        <v>0</v>
      </c>
      <c r="T14" s="63">
        <f t="shared" si="2"/>
        <v>0</v>
      </c>
      <c r="U14" s="63">
        <f t="shared" si="2"/>
        <v>0</v>
      </c>
      <c r="V14" s="63">
        <f t="shared" si="2"/>
        <v>0</v>
      </c>
      <c r="W14" s="63">
        <f t="shared" si="2"/>
        <v>0</v>
      </c>
      <c r="X14" s="63">
        <f t="shared" si="2"/>
        <v>0</v>
      </c>
    </row>
    <row r="15" spans="1:33" x14ac:dyDescent="0.2">
      <c r="A15" s="14" t="s">
        <v>888</v>
      </c>
      <c r="B15" s="63">
        <f t="shared" ref="B15:X15" si="3">IF($X$8&lt;&gt;0,(B$9-B$8)/$X$8,0)</f>
        <v>0</v>
      </c>
      <c r="C15" s="63">
        <f t="shared" si="3"/>
        <v>0</v>
      </c>
      <c r="D15" s="63">
        <f t="shared" si="3"/>
        <v>0</v>
      </c>
      <c r="E15" s="63">
        <f t="shared" si="3"/>
        <v>0</v>
      </c>
      <c r="F15" s="63">
        <f t="shared" si="3"/>
        <v>0</v>
      </c>
      <c r="G15" s="63">
        <f t="shared" si="3"/>
        <v>0</v>
      </c>
      <c r="H15" s="63">
        <f t="shared" si="3"/>
        <v>0</v>
      </c>
      <c r="I15" s="63">
        <f t="shared" si="3"/>
        <v>0</v>
      </c>
      <c r="J15" s="63">
        <f t="shared" si="3"/>
        <v>0</v>
      </c>
      <c r="K15" s="63">
        <f t="shared" si="3"/>
        <v>0</v>
      </c>
      <c r="L15" s="63">
        <f t="shared" si="3"/>
        <v>0</v>
      </c>
      <c r="M15" s="63">
        <f t="shared" si="3"/>
        <v>0</v>
      </c>
      <c r="N15" s="63">
        <f t="shared" si="3"/>
        <v>0</v>
      </c>
      <c r="O15" s="63">
        <f t="shared" si="3"/>
        <v>0</v>
      </c>
      <c r="P15" s="63">
        <f t="shared" si="3"/>
        <v>0</v>
      </c>
      <c r="Q15" s="63">
        <f t="shared" si="3"/>
        <v>0</v>
      </c>
      <c r="R15" s="63">
        <f t="shared" si="3"/>
        <v>0</v>
      </c>
      <c r="S15" s="63">
        <f t="shared" si="3"/>
        <v>0</v>
      </c>
      <c r="T15" s="63">
        <f t="shared" si="3"/>
        <v>0</v>
      </c>
      <c r="U15" s="63">
        <f t="shared" si="3"/>
        <v>0</v>
      </c>
      <c r="V15" s="63">
        <f t="shared" si="3"/>
        <v>0</v>
      </c>
      <c r="W15" s="63">
        <f t="shared" si="3"/>
        <v>0</v>
      </c>
      <c r="X15" s="63">
        <f t="shared" si="3"/>
        <v>0</v>
      </c>
    </row>
  </sheetData>
  <dataValidations count="6">
    <dataValidation type="list" allowBlank="1" showInputMessage="1" showErrorMessage="1" error="Deve-se selecionar grupo válido" sqref="A2" xr:uid="{CF0438F2-F677-4C6B-8300-0A796930E0F6}">
      <formula1>AA1:AA6</formula1>
    </dataValidation>
    <dataValidation type="list" allowBlank="1" showInputMessage="1" showErrorMessage="1" error="Deve-se selecionar grupo válido" sqref="B2" xr:uid="{EB97D2EA-C922-4CFC-8E2D-7754B74F889E}">
      <formula1>AB1:AB7</formula1>
    </dataValidation>
    <dataValidation type="list" allowBlank="1" showInputMessage="1" showErrorMessage="1" error="Deve-se selecionar grupo válido" sqref="C2 E2" xr:uid="{27FBB124-E62D-4D78-89E2-CD979571EF67}">
      <formula1>AC1:AC4</formula1>
    </dataValidation>
    <dataValidation type="list" allowBlank="1" showInputMessage="1" showErrorMessage="1" error="Deve-se selecionar grupo válido" sqref="D2" xr:uid="{4C35CAAC-7E96-4F94-914E-676F897EF89C}">
      <formula1>AD1:AD10</formula1>
    </dataValidation>
    <dataValidation type="list" allowBlank="1" showInputMessage="1" showErrorMessage="1" error="Deve-se selecionar grupo válido" sqref="F2" xr:uid="{990FB899-B461-4B6F-8B78-FE0285B7A706}">
      <formula1>AF1:AF1</formula1>
    </dataValidation>
    <dataValidation type="list" allowBlank="1" showInputMessage="1" showErrorMessage="1" error="Deve-se selecionar grupo válido" sqref="G2" xr:uid="{BB3179F8-35C0-4909-992A-4EEFB8334918}">
      <formula1>AG1:AG8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7A15-865A-48A5-8885-F5478D91A806}">
  <sheetPr codeName="Planilha25"/>
  <dimension ref="A1:AG15"/>
  <sheetViews>
    <sheetView showGridLines="0" workbookViewId="0">
      <selection activeCell="J15" sqref="J15"/>
    </sheetView>
  </sheetViews>
  <sheetFormatPr defaultColWidth="9.140625" defaultRowHeight="11.25" x14ac:dyDescent="0.2"/>
  <cols>
    <col min="1" max="1" width="19.140625" style="14" bestFit="1" customWidth="1"/>
    <col min="2" max="2" width="10.5703125" style="14" bestFit="1" customWidth="1"/>
    <col min="3" max="6" width="10.28515625" style="14" bestFit="1" customWidth="1"/>
    <col min="7" max="7" width="14.85546875" style="14" bestFit="1" customWidth="1"/>
    <col min="8" max="8" width="6" style="14" bestFit="1" customWidth="1"/>
    <col min="9" max="9" width="9.5703125" style="14" bestFit="1" customWidth="1"/>
    <col min="10" max="10" width="6.42578125" style="14" bestFit="1" customWidth="1"/>
    <col min="11" max="11" width="7.7109375" style="14" bestFit="1" customWidth="1"/>
    <col min="12" max="12" width="10.7109375" style="14" bestFit="1" customWidth="1"/>
    <col min="13" max="13" width="10" style="14" bestFit="1" customWidth="1"/>
    <col min="14" max="26" width="9.140625" style="14"/>
    <col min="27" max="27" width="3" style="14" bestFit="1" customWidth="1"/>
    <col min="28" max="28" width="27.140625" style="14" bestFit="1" customWidth="1"/>
    <col min="29" max="29" width="13.5703125" style="14" bestFit="1" customWidth="1"/>
    <col min="30" max="30" width="25.140625" style="14" bestFit="1" customWidth="1"/>
    <col min="31" max="33" width="10.28515625" style="14" bestFit="1" customWidth="1"/>
    <col min="34" max="16384" width="9.140625" style="14"/>
  </cols>
  <sheetData>
    <row r="1" spans="1:33" x14ac:dyDescent="0.2">
      <c r="A1" s="14" t="s">
        <v>49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15</v>
      </c>
      <c r="G1" s="14" t="s">
        <v>55</v>
      </c>
      <c r="I1" s="14" t="s">
        <v>885</v>
      </c>
      <c r="AA1" s="14" t="s">
        <v>58</v>
      </c>
      <c r="AB1" s="14" t="s">
        <v>25</v>
      </c>
      <c r="AC1" s="14" t="s">
        <v>25</v>
      </c>
      <c r="AD1" s="14" t="s">
        <v>25</v>
      </c>
      <c r="AE1" s="14" t="s">
        <v>25</v>
      </c>
      <c r="AF1" s="14" t="s">
        <v>25</v>
      </c>
      <c r="AG1" s="14" t="s">
        <v>25</v>
      </c>
    </row>
    <row r="2" spans="1:33" x14ac:dyDescent="0.2">
      <c r="A2" s="14" t="s">
        <v>58</v>
      </c>
      <c r="B2" s="14" t="s">
        <v>25</v>
      </c>
      <c r="C2" s="14" t="s">
        <v>25</v>
      </c>
      <c r="D2" s="14" t="s">
        <v>25</v>
      </c>
      <c r="E2" s="14" t="s">
        <v>25</v>
      </c>
      <c r="F2" s="14" t="s">
        <v>25</v>
      </c>
      <c r="G2" s="14" t="s">
        <v>25</v>
      </c>
      <c r="I2" s="14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4" t="s">
        <v>22</v>
      </c>
      <c r="AB2" s="14" t="s">
        <v>59</v>
      </c>
      <c r="AC2" s="14" t="s">
        <v>24</v>
      </c>
      <c r="AD2" s="14" t="s">
        <v>24</v>
      </c>
      <c r="AG2" s="14" t="s">
        <v>61</v>
      </c>
    </row>
    <row r="3" spans="1:33" x14ac:dyDescent="0.2">
      <c r="AA3" s="14" t="s">
        <v>31</v>
      </c>
      <c r="AB3" s="14" t="s">
        <v>75</v>
      </c>
      <c r="AC3" s="14" t="s">
        <v>32</v>
      </c>
      <c r="AD3" s="14" t="s">
        <v>41</v>
      </c>
      <c r="AG3" s="14" t="s">
        <v>62</v>
      </c>
    </row>
    <row r="4" spans="1:33" x14ac:dyDescent="0.2">
      <c r="AA4" s="14" t="s">
        <v>28</v>
      </c>
      <c r="AB4" s="14" t="s">
        <v>77</v>
      </c>
      <c r="AC4" s="14" t="s">
        <v>35</v>
      </c>
      <c r="AD4" s="14" t="s">
        <v>42</v>
      </c>
      <c r="AG4" s="14" t="s">
        <v>74</v>
      </c>
    </row>
    <row r="5" spans="1:33" x14ac:dyDescent="0.2">
      <c r="A5" s="14" t="s">
        <v>878</v>
      </c>
      <c r="B5" s="14" t="str">
        <f>TE!$X$4</f>
        <v>P&amp;D</v>
      </c>
      <c r="C5" s="14" t="str">
        <f>TE!$Y$4</f>
        <v>ESS/ERR</v>
      </c>
      <c r="D5" s="14" t="str">
        <f>TE!$Z$4</f>
        <v>CFURH</v>
      </c>
      <c r="E5" s="14" t="str">
        <f>TE!$AA$4</f>
        <v>CDE Covid TE</v>
      </c>
      <c r="F5" s="14" t="str">
        <f>TE!$AB$4</f>
        <v>CDE ELET</v>
      </c>
      <c r="G5" s="14" t="str">
        <f>TE!$AC$4</f>
        <v>ENERGIA REVENDA</v>
      </c>
      <c r="H5" s="14" t="str">
        <f>TE!$AD$4</f>
        <v>ITAIPU</v>
      </c>
      <c r="I5" s="14" t="str">
        <f>TE!$AE$4</f>
        <v>TUST ITAIPU</v>
      </c>
      <c r="J5" s="14" t="str">
        <f>TE!$AF$4</f>
        <v>TUST CI</v>
      </c>
      <c r="K5" s="14" t="str">
        <f>TE!$AG$4</f>
        <v>SUBSIDIO</v>
      </c>
      <c r="L5" s="14" t="str">
        <f>TE!$AH$4</f>
        <v>PERDAS RB/C</v>
      </c>
      <c r="M5" s="14" t="s">
        <v>301</v>
      </c>
      <c r="AA5" s="14" t="s">
        <v>34</v>
      </c>
      <c r="AD5" s="14" t="s">
        <v>39</v>
      </c>
      <c r="AG5" s="14" t="s">
        <v>67</v>
      </c>
    </row>
    <row r="6" spans="1:33" x14ac:dyDescent="0.2">
      <c r="A6" s="14" t="s">
        <v>879</v>
      </c>
      <c r="B6" s="45">
        <f>SUM(TE!$X$47:'TE'!$X$83)</f>
        <v>0</v>
      </c>
      <c r="C6" s="45">
        <f>SUM(TE!$Y$47:'TE'!$Y$83)</f>
        <v>0</v>
      </c>
      <c r="D6" s="45">
        <f>SUM(TE!$Z$47:'TE'!$Z$83)</f>
        <v>0</v>
      </c>
      <c r="E6" s="45">
        <f>SUM(TE!$AA$47:'TE'!$AA$83)</f>
        <v>0</v>
      </c>
      <c r="F6" s="45">
        <f>SUM(TE!$AB$47:'TE'!$AB$83)</f>
        <v>0</v>
      </c>
      <c r="G6" s="45">
        <f>SUM(TE!$AC$47:'TE'!$AC$83)</f>
        <v>3101418.4815756166</v>
      </c>
      <c r="H6" s="45">
        <f>SUM(TE!$AD$47:'TE'!$AD$83)</f>
        <v>0</v>
      </c>
      <c r="I6" s="45">
        <f>SUM(TE!$AE$47:'TE'!$AE$83)</f>
        <v>0</v>
      </c>
      <c r="J6" s="45">
        <f>SUM(TE!$AF$47:'TE'!$AF$83)</f>
        <v>0</v>
      </c>
      <c r="K6" s="45">
        <f>SUM(TE!$AG$47:'TE'!$AG$83)</f>
        <v>0</v>
      </c>
      <c r="L6" s="45">
        <f>SUM(TE!$AH$47:'TE'!$AH$83)</f>
        <v>0</v>
      </c>
      <c r="M6" s="45">
        <f t="shared" ref="M6:M11" si="0">SUM(B6:L6)</f>
        <v>3101418.4815756166</v>
      </c>
      <c r="AD6" s="14" t="s">
        <v>40</v>
      </c>
    </row>
    <row r="7" spans="1:33" x14ac:dyDescent="0.2">
      <c r="A7" s="14" t="s">
        <v>880</v>
      </c>
      <c r="B7" s="45">
        <f>SUM(TE!$L$47:'TE'!$L$83)</f>
        <v>0</v>
      </c>
      <c r="C7" s="45">
        <f>SUM(TE!$M$47:'TE'!$M$83)</f>
        <v>0</v>
      </c>
      <c r="D7" s="45">
        <f>SUM(TE!$N$47:'TE'!$N$83)</f>
        <v>0</v>
      </c>
      <c r="E7" s="45">
        <f>SUM(TE!$O$47:'TE'!$O$83)</f>
        <v>0</v>
      </c>
      <c r="F7" s="45">
        <f>SUM(TE!$P$47:'TE'!$P$83)</f>
        <v>0</v>
      </c>
      <c r="G7" s="45">
        <f>SUM(TE!$Q$47:'TE'!$Q$83)</f>
        <v>2472724.1362057063</v>
      </c>
      <c r="H7" s="45">
        <f>SUM(TE!$R$47:'TE'!$R$83)</f>
        <v>0</v>
      </c>
      <c r="I7" s="45">
        <f>SUM(TE!$S$47:'TE'!$S$83)</f>
        <v>0</v>
      </c>
      <c r="J7" s="45">
        <f>SUM(TE!$T$47:'TE'!$T$83)</f>
        <v>0</v>
      </c>
      <c r="K7" s="45">
        <f>SUM(TE!$U$47:'TE'!$U$83)</f>
        <v>0</v>
      </c>
      <c r="L7" s="45">
        <f>SUM(TE!$V$47:'TE'!$V$83)</f>
        <v>0</v>
      </c>
      <c r="M7" s="45">
        <f t="shared" si="0"/>
        <v>2472724.1362057063</v>
      </c>
      <c r="AD7" s="14" t="s">
        <v>79</v>
      </c>
    </row>
    <row r="8" spans="1:33" x14ac:dyDescent="0.2">
      <c r="A8" s="14" t="s">
        <v>883</v>
      </c>
      <c r="B8" s="45">
        <f>IF($G$2&lt;&gt;"Não se aplica",SUMIF(TE!$G$47:'TE'!$G$83,$I$2,TE!$X$47:'TE'!$X$83),IF($F$2&lt;&gt;"Não se aplica",SUMIF(TE!$F$47:'TE'!$F$83,$I$2,TE!$X$47:'TE'!$X$83),IF($E$2&lt;&gt;"Não se aplica",SUMIF(TE!$E$47:'TE'!$E$83,$I$2,TE!$X$47:'TE'!$X$83),IF($D$2&lt;&gt;"Não se aplica",SUMIF(TE!$D$47:'TE'!$D$83,$I$2,TE!$X$47:'TE'!$X$83),IF($C$2&lt;&gt;"Não se aplica",SUMIF(TE!$C$47:'TE'!$C$83,$I$2,TE!$X$47:'TE'!$X$83),IF($B$2&lt;&gt;"Não se aplica",SUMIF(TE!$B$47:'TE'!$B$83,$I$2,TE!$X$47:'TE'!$X$83),SUMIF(TE!$A$47:'TE'!$A$83,$I$2,TE!$X$47:'TE'!$X$83)))))))</f>
        <v>0</v>
      </c>
      <c r="C8" s="45">
        <f>IF($G$2&lt;&gt;"Não se aplica",SUMIF(TE!$G$47:'TE'!$G$83,$I$2,TE!$Y$47:'TE'!$Y$83),IF($F$2&lt;&gt;"Não se aplica",SUMIF(TE!$F$47:'TE'!$F$83,$I$2,TE!$Y$47:'TE'!$Y$83),IF($E$2&lt;&gt;"Não se aplica",SUMIF(TE!$E$47:'TE'!$E$83,$I$2,TE!$Y$47:'TE'!$Y$83),IF($D$2&lt;&gt;"Não se aplica",SUMIF(TE!$D$47:'TE'!$D$83,$I$2,TE!$Y$47:'TE'!$Y$83),IF($C$2&lt;&gt;"Não se aplica",SUMIF(TE!$C$47:'TE'!$C$83,$I$2,TE!$Y$47:'TE'!$Y$83),IF($B$2&lt;&gt;"Não se aplica",SUMIF(TE!$B$47:'TE'!$B$83,$I$2,TE!$Y$47:'TE'!$Y$83),SUMIF(TE!$A$47:'TE'!$A$83,$I$2,TE!$Y$47:'TE'!$Y$83)))))))</f>
        <v>0</v>
      </c>
      <c r="D8" s="45">
        <f>IF($G$2&lt;&gt;"Não se aplica",SUMIF(TE!$G$47:'TE'!$G$83,$I$2,TE!$Z$47:'TE'!$Z$83),IF($F$2&lt;&gt;"Não se aplica",SUMIF(TE!$F$47:'TE'!$F$83,$I$2,TE!$Z$47:'TE'!$Z$83),IF($E$2&lt;&gt;"Não se aplica",SUMIF(TE!$E$47:'TE'!$E$83,$I$2,TE!$Z$47:'TE'!$Z$83),IF($D$2&lt;&gt;"Não se aplica",SUMIF(TE!$D$47:'TE'!$D$83,$I$2,TE!$Z$47:'TE'!$Z$83),IF($C$2&lt;&gt;"Não se aplica",SUMIF(TE!$C$47:'TE'!$C$83,$I$2,TE!$Z$47:'TE'!$Z$83),IF($B$2&lt;&gt;"Não se aplica",SUMIF(TE!$B$47:'TE'!$B$83,$I$2,TE!$Z$47:'TE'!$Z$83),SUMIF(TE!$A$47:'TE'!$A$83,$I$2,TE!$Z$47:'TE'!$Z$83)))))))</f>
        <v>0</v>
      </c>
      <c r="E8" s="45">
        <f>IF($G$2&lt;&gt;"Não se aplica",SUMIF(TE!$G$47:'TE'!$G$83,$I$2,TE!$AA$47:'TE'!$AA$83),IF($F$2&lt;&gt;"Não se aplica",SUMIF(TE!$F$47:'TE'!$F$83,$I$2,TE!$AA$47:'TE'!$AA$83),IF($E$2&lt;&gt;"Não se aplica",SUMIF(TE!$E$47:'TE'!$E$83,$I$2,TE!$AA$47:'TE'!$AA$83),IF($D$2&lt;&gt;"Não se aplica",SUMIF(TE!$D$47:'TE'!$D$83,$I$2,TE!$AA$47:'TE'!$AA$83),IF($C$2&lt;&gt;"Não se aplica",SUMIF(TE!$C$47:'TE'!$C$83,$I$2,TE!$AA$47:'TE'!$AA$83),IF($B$2&lt;&gt;"Não se aplica",SUMIF(TE!$B$47:'TE'!$B$83,$I$2,TE!$AA$47:'TE'!$AA$83),SUMIF(TE!$A$47:'TE'!$A$83,$I$2,TE!$AA$47:'TE'!$AA$83)))))))</f>
        <v>0</v>
      </c>
      <c r="F8" s="45">
        <f>IF($G$2&lt;&gt;"Não se aplica",SUMIF(TE!$G$47:'TE'!$G$83,$I$2,TE!$AB$47:'TE'!$AB$83),IF($F$2&lt;&gt;"Não se aplica",SUMIF(TE!$F$47:'TE'!$F$83,$I$2,TE!$AB$47:'TE'!$AB$83),IF($E$2&lt;&gt;"Não se aplica",SUMIF(TE!$E$47:'TE'!$E$83,$I$2,TE!$AB$47:'TE'!$AB$83),IF($D$2&lt;&gt;"Não se aplica",SUMIF(TE!$D$47:'TE'!$D$83,$I$2,TE!$AB$47:'TE'!$AB$83),IF($C$2&lt;&gt;"Não se aplica",SUMIF(TE!$C$47:'TE'!$C$83,$I$2,TE!$AB$47:'TE'!$AB$83),IF($B$2&lt;&gt;"Não se aplica",SUMIF(TE!$B$47:'TE'!$B$83,$I$2,TE!$AB$47:'TE'!$AB$83),SUMIF(TE!$A$47:'TE'!$A$83,$I$2,TE!$AB$47:'TE'!$AB$83)))))))</f>
        <v>0</v>
      </c>
      <c r="G8" s="45">
        <f>IF($G$2&lt;&gt;"Não se aplica",SUMIF(TE!$G$47:'TE'!$G$83,$I$2,TE!$AC$47:'TE'!$AC$83),IF($F$2&lt;&gt;"Não se aplica",SUMIF(TE!$F$47:'TE'!$F$83,$I$2,TE!$AC$47:'TE'!$AC$83),IF($E$2&lt;&gt;"Não se aplica",SUMIF(TE!$E$47:'TE'!$E$83,$I$2,TE!$AC$47:'TE'!$AC$83),IF($D$2&lt;&gt;"Não se aplica",SUMIF(TE!$D$47:'TE'!$D$83,$I$2,TE!$AC$47:'TE'!$AC$83),IF($C$2&lt;&gt;"Não se aplica",SUMIF(TE!$C$47:'TE'!$C$83,$I$2,TE!$AC$47:'TE'!$AC$83),IF($B$2&lt;&gt;"Não se aplica",SUMIF(TE!$B$47:'TE'!$B$83,$I$2,TE!$AC$47:'TE'!$AC$83),SUMIF(TE!$A$47:'TE'!$A$83,$I$2,TE!$AC$47:'TE'!$AC$83)))))))</f>
        <v>0</v>
      </c>
      <c r="H8" s="45">
        <f>IF($G$2&lt;&gt;"Não se aplica",SUMIF(TE!$G$47:'TE'!$G$83,$I$2,TE!$AD$47:'TE'!$AD$83),IF($F$2&lt;&gt;"Não se aplica",SUMIF(TE!$F$47:'TE'!$F$83,$I$2,TE!$AD$47:'TE'!$AD$83),IF($E$2&lt;&gt;"Não se aplica",SUMIF(TE!$E$47:'TE'!$E$83,$I$2,TE!$AD$47:'TE'!$AD$83),IF($D$2&lt;&gt;"Não se aplica",SUMIF(TE!$D$47:'TE'!$D$83,$I$2,TE!$AD$47:'TE'!$AD$83),IF($C$2&lt;&gt;"Não se aplica",SUMIF(TE!$C$47:'TE'!$C$83,$I$2,TE!$AD$47:'TE'!$AD$83),IF($B$2&lt;&gt;"Não se aplica",SUMIF(TE!$B$47:'TE'!$B$83,$I$2,TE!$AD$47:'TE'!$AD$83),SUMIF(TE!$A$47:'TE'!$A$83,$I$2,TE!$AD$47:'TE'!$AD$83)))))))</f>
        <v>0</v>
      </c>
      <c r="I8" s="45">
        <f>IF($G$2&lt;&gt;"Não se aplica",SUMIF(TE!$G$47:'TE'!$G$83,$I$2,TE!$AE$47:'TE'!$AE$83),IF($F$2&lt;&gt;"Não se aplica",SUMIF(TE!$F$47:'TE'!$F$83,$I$2,TE!$AE$47:'TE'!$AE$83),IF($E$2&lt;&gt;"Não se aplica",SUMIF(TE!$E$47:'TE'!$E$83,$I$2,TE!$AE$47:'TE'!$AE$83),IF($D$2&lt;&gt;"Não se aplica",SUMIF(TE!$D$47:'TE'!$D$83,$I$2,TE!$AE$47:'TE'!$AE$83),IF($C$2&lt;&gt;"Não se aplica",SUMIF(TE!$C$47:'TE'!$C$83,$I$2,TE!$AE$47:'TE'!$AE$83),IF($B$2&lt;&gt;"Não se aplica",SUMIF(TE!$B$47:'TE'!$B$83,$I$2,TE!$AE$47:'TE'!$AE$83),SUMIF(TE!$A$47:'TE'!$A$83,$I$2,TE!$AE$47:'TE'!$AE$83)))))))</f>
        <v>0</v>
      </c>
      <c r="J8" s="45">
        <f>IF($G$2&lt;&gt;"Não se aplica",SUMIF(TE!$G$47:'TE'!$G$83,$I$2,TE!$AF$47:'TE'!$AF$83),IF($F$2&lt;&gt;"Não se aplica",SUMIF(TE!$F$47:'TE'!$F$83,$I$2,TE!$AF$47:'TE'!$AF$83),IF($E$2&lt;&gt;"Não se aplica",SUMIF(TE!$E$47:'TE'!$E$83,$I$2,TE!$AF$47:'TE'!$AF$83),IF($D$2&lt;&gt;"Não se aplica",SUMIF(TE!$D$47:'TE'!$D$83,$I$2,TE!$AF$47:'TE'!$AF$83),IF($C$2&lt;&gt;"Não se aplica",SUMIF(TE!$C$47:'TE'!$C$83,$I$2,TE!$AF$47:'TE'!$AF$83),IF($B$2&lt;&gt;"Não se aplica",SUMIF(TE!$B$47:'TE'!$B$83,$I$2,TE!$AF$47:'TE'!$AF$83),SUMIF(TE!$A$47:'TE'!$A$83,$I$2,TE!$AF$47:'TE'!$AF$83)))))))</f>
        <v>0</v>
      </c>
      <c r="K8" s="45">
        <f>IF($G$2&lt;&gt;"Não se aplica",SUMIF(TE!$G$47:'TE'!$G$83,$I$2,TE!$AG$47:'TE'!$AG$83),IF($F$2&lt;&gt;"Não se aplica",SUMIF(TE!$F$47:'TE'!$F$83,$I$2,TE!$AG$47:'TE'!$AG$83),IF($E$2&lt;&gt;"Não se aplica",SUMIF(TE!$E$47:'TE'!$E$83,$I$2,TE!$AG$47:'TE'!$AG$83),IF($D$2&lt;&gt;"Não se aplica",SUMIF(TE!$D$47:'TE'!$D$83,$I$2,TE!$AG$47:'TE'!$AG$83),IF($C$2&lt;&gt;"Não se aplica",SUMIF(TE!$C$47:'TE'!$C$83,$I$2,TE!$AG$47:'TE'!$AG$83),IF($B$2&lt;&gt;"Não se aplica",SUMIF(TE!$B$47:'TE'!$B$83,$I$2,TE!$AG$47:'TE'!$AG$83),SUMIF(TE!$A$47:'TE'!$A$83,$I$2,TE!$AG$47:'TE'!$AG$83)))))))</f>
        <v>0</v>
      </c>
      <c r="L8" s="45">
        <f>IF($G$2&lt;&gt;"Não se aplica",SUMIF(TE!$G$47:'TE'!$G$83,$I$2,TE!$AH$47:'TE'!$AH$83),IF($F$2&lt;&gt;"Não se aplica",SUMIF(TE!$F$47:'TE'!$F$83,$I$2,TE!$AH$47:'TE'!$AH$83),IF($E$2&lt;&gt;"Não se aplica",SUMIF(TE!$E$47:'TE'!$E$83,$I$2,TE!$AH$47:'TE'!$AH$83),IF($D$2&lt;&gt;"Não se aplica",SUMIF(TE!$D$47:'TE'!$D$83,$I$2,TE!$AH$47:'TE'!$AH$83),IF($C$2&lt;&gt;"Não se aplica",SUMIF(TE!$C$47:'TE'!$C$83,$I$2,TE!$AH$47:'TE'!$AH$83),IF($B$2&lt;&gt;"Não se aplica",SUMIF(TE!$B$47:'TE'!$B$83,$I$2,TE!$AH$47:'TE'!$AH$83),SUMIF(TE!$A$47:'TE'!$A$83,$I$2,TE!$AH$47:'TE'!$AH$83)))))))</f>
        <v>0</v>
      </c>
      <c r="M8" s="45">
        <f t="shared" si="0"/>
        <v>0</v>
      </c>
      <c r="AD8" s="14" t="s">
        <v>80</v>
      </c>
    </row>
    <row r="9" spans="1:33" x14ac:dyDescent="0.2">
      <c r="A9" s="14" t="s">
        <v>884</v>
      </c>
      <c r="B9" s="45">
        <f>IF($G$2&lt;&gt;"Não se aplica",SUMIF(TE!$G$47:'TE'!$G$83,$I$2,TE!$L$47:'TE'!$L$83),IF($F$2&lt;&gt;"Não se aplica",SUMIF(TE!$F$47:'TE'!$F$83,$I$2,TE!$L$47:'TE'!$L$83),IF($E$2&lt;&gt;"Não se aplica",SUMIF(TE!$E$47:'TE'!$E$83,$I$2,TE!$L$47:'TE'!$L$83),IF($D$2&lt;&gt;"Não se aplica",SUMIF(TE!$D$47:'TE'!$D$83,$I$2,TE!$L$47:'TE'!$L$83),IF($C$2&lt;&gt;"Não se aplica",SUMIF(TE!$C$47:'TE'!$C$83,$I$2,TE!$L$47:'TE'!$L$83),IF($B$2&lt;&gt;"Não se aplica",SUMIF(TE!$B$47:'TE'!$B$83,$I$2,TE!$L$47:'TE'!$L$83),SUMIF(TE!$A$47:'TE'!$A$83,$I$2,TE!$L$47:'TE'!$L$83)))))))</f>
        <v>0</v>
      </c>
      <c r="C9" s="45">
        <f>IF($G$2&lt;&gt;"Não se aplica",SUMIF(TE!$G$47:'TE'!$G$83,$I$2,TE!$M$47:'TE'!$M$83),IF($F$2&lt;&gt;"Não se aplica",SUMIF(TE!$F$47:'TE'!$F$83,$I$2,TE!$M$47:'TE'!$M$83),IF($E$2&lt;&gt;"Não se aplica",SUMIF(TE!$E$47:'TE'!$E$83,$I$2,TE!$M$47:'TE'!$M$83),IF($D$2&lt;&gt;"Não se aplica",SUMIF(TE!$D$47:'TE'!$D$83,$I$2,TE!$M$47:'TE'!$M$83),IF($C$2&lt;&gt;"Não se aplica",SUMIF(TE!$C$47:'TE'!$C$83,$I$2,TE!$M$47:'TE'!$M$83),IF($B$2&lt;&gt;"Não se aplica",SUMIF(TE!$B$47:'TE'!$B$83,$I$2,TE!$M$47:'TE'!$M$83),SUMIF(TE!$A$47:'TE'!$A$83,$I$2,TE!$M$47:'TE'!$M$83)))))))</f>
        <v>0</v>
      </c>
      <c r="D9" s="45">
        <f>IF($G$2&lt;&gt;"Não se aplica",SUMIF(TE!$G$47:'TE'!$G$83,$I$2,TE!$N$47:'TE'!$N$83),IF($F$2&lt;&gt;"Não se aplica",SUMIF(TE!$F$47:'TE'!$F$83,$I$2,TE!$N$47:'TE'!$N$83),IF($E$2&lt;&gt;"Não se aplica",SUMIF(TE!$E$47:'TE'!$E$83,$I$2,TE!$N$47:'TE'!$N$83),IF($D$2&lt;&gt;"Não se aplica",SUMIF(TE!$D$47:'TE'!$D$83,$I$2,TE!$N$47:'TE'!$N$83),IF($C$2&lt;&gt;"Não se aplica",SUMIF(TE!$C$47:'TE'!$C$83,$I$2,TE!$N$47:'TE'!$N$83),IF($B$2&lt;&gt;"Não se aplica",SUMIF(TE!$B$47:'TE'!$B$83,$I$2,TE!$N$47:'TE'!$N$83),SUMIF(TE!$A$47:'TE'!$A$83,$I$2,TE!$N$47:'TE'!$N$83)))))))</f>
        <v>0</v>
      </c>
      <c r="E9" s="45">
        <f>IF($G$2&lt;&gt;"Não se aplica",SUMIF(TE!$G$47:'TE'!$G$83,$I$2,TE!$O$47:'TE'!$O$83),IF($F$2&lt;&gt;"Não se aplica",SUMIF(TE!$F$47:'TE'!$F$83,$I$2,TE!$O$47:'TE'!$O$83),IF($E$2&lt;&gt;"Não se aplica",SUMIF(TE!$E$47:'TE'!$E$83,$I$2,TE!$O$47:'TE'!$O$83),IF($D$2&lt;&gt;"Não se aplica",SUMIF(TE!$D$47:'TE'!$D$83,$I$2,TE!$O$47:'TE'!$O$83),IF($C$2&lt;&gt;"Não se aplica",SUMIF(TE!$C$47:'TE'!$C$83,$I$2,TE!$O$47:'TE'!$O$83),IF($B$2&lt;&gt;"Não se aplica",SUMIF(TE!$B$47:'TE'!$B$83,$I$2,TE!$O$47:'TE'!$O$83),SUMIF(TE!$A$47:'TE'!$A$83,$I$2,TE!$O$47:'TE'!$O$83)))))))</f>
        <v>0</v>
      </c>
      <c r="F9" s="45">
        <f>IF($G$2&lt;&gt;"Não se aplica",SUMIF(TE!$G$47:'TE'!$G$83,$I$2,TE!$P$47:'TE'!$P$83),IF($F$2&lt;&gt;"Não se aplica",SUMIF(TE!$F$47:'TE'!$F$83,$I$2,TE!$P$47:'TE'!$P$83),IF($E$2&lt;&gt;"Não se aplica",SUMIF(TE!$E$47:'TE'!$E$83,$I$2,TE!$P$47:'TE'!$P$83),IF($D$2&lt;&gt;"Não se aplica",SUMIF(TE!$D$47:'TE'!$D$83,$I$2,TE!$P$47:'TE'!$P$83),IF($C$2&lt;&gt;"Não se aplica",SUMIF(TE!$C$47:'TE'!$C$83,$I$2,TE!$P$47:'TE'!$P$83),IF($B$2&lt;&gt;"Não se aplica",SUMIF(TE!$B$47:'TE'!$B$83,$I$2,TE!$P$47:'TE'!$P$83),SUMIF(TE!$A$47:'TE'!$A$83,$I$2,TE!$P$47:'TE'!$P$83)))))))</f>
        <v>0</v>
      </c>
      <c r="G9" s="45">
        <f>IF($G$2&lt;&gt;"Não se aplica",SUMIF(TE!$G$47:'TE'!$G$83,$I$2,TE!$Q$47:'TE'!$Q$83),IF($F$2&lt;&gt;"Não se aplica",SUMIF(TE!$F$47:'TE'!$F$83,$I$2,TE!$Q$47:'TE'!$Q$83),IF($E$2&lt;&gt;"Não se aplica",SUMIF(TE!$E$47:'TE'!$E$83,$I$2,TE!$Q$47:'TE'!$Q$83),IF($D$2&lt;&gt;"Não se aplica",SUMIF(TE!$D$47:'TE'!$D$83,$I$2,TE!$Q$47:'TE'!$Q$83),IF($C$2&lt;&gt;"Não se aplica",SUMIF(TE!$C$47:'TE'!$C$83,$I$2,TE!$Q$47:'TE'!$Q$83),IF($B$2&lt;&gt;"Não se aplica",SUMIF(TE!$B$47:'TE'!$B$83,$I$2,TE!$Q$47:'TE'!$Q$83),SUMIF(TE!$A$47:'TE'!$A$83,$I$2,TE!$Q$47:'TE'!$Q$83)))))))</f>
        <v>0</v>
      </c>
      <c r="H9" s="45">
        <f>IF($G$2&lt;&gt;"Não se aplica",SUMIF(TE!$G$47:'TE'!$G$83,$I$2,TE!$R$47:'TE'!$R$83),IF($F$2&lt;&gt;"Não se aplica",SUMIF(TE!$F$47:'TE'!$F$83,$I$2,TE!$R$47:'TE'!$R$83),IF($E$2&lt;&gt;"Não se aplica",SUMIF(TE!$E$47:'TE'!$E$83,$I$2,TE!$R$47:'TE'!$R$83),IF($D$2&lt;&gt;"Não se aplica",SUMIF(TE!$D$47:'TE'!$D$83,$I$2,TE!$R$47:'TE'!$R$83),IF($C$2&lt;&gt;"Não se aplica",SUMIF(TE!$C$47:'TE'!$C$83,$I$2,TE!$R$47:'TE'!$R$83),IF($B$2&lt;&gt;"Não se aplica",SUMIF(TE!$B$47:'TE'!$B$83,$I$2,TE!$R$47:'TE'!$R$83),SUMIF(TE!$A$47:'TE'!$A$83,$I$2,TE!$R$47:'TE'!$R$83)))))))</f>
        <v>0</v>
      </c>
      <c r="I9" s="45">
        <f>IF($G$2&lt;&gt;"Não se aplica",SUMIF(TE!$G$47:'TE'!$G$83,$I$2,TE!$S$47:'TE'!$S$83),IF($F$2&lt;&gt;"Não se aplica",SUMIF(TE!$F$47:'TE'!$F$83,$I$2,TE!$S$47:'TE'!$S$83),IF($E$2&lt;&gt;"Não se aplica",SUMIF(TE!$E$47:'TE'!$E$83,$I$2,TE!$S$47:'TE'!$S$83),IF($D$2&lt;&gt;"Não se aplica",SUMIF(TE!$D$47:'TE'!$D$83,$I$2,TE!$S$47:'TE'!$S$83),IF($C$2&lt;&gt;"Não se aplica",SUMIF(TE!$C$47:'TE'!$C$83,$I$2,TE!$S$47:'TE'!$S$83),IF($B$2&lt;&gt;"Não se aplica",SUMIF(TE!$B$47:'TE'!$B$83,$I$2,TE!$S$47:'TE'!$S$83),SUMIF(TE!$A$47:'TE'!$A$83,$I$2,TE!$S$47:'TE'!$S$83)))))))</f>
        <v>0</v>
      </c>
      <c r="J9" s="45">
        <f>IF($G$2&lt;&gt;"Não se aplica",SUMIF(TE!$G$47:'TE'!$G$83,$I$2,TE!$T$47:'TE'!$T$83),IF($F$2&lt;&gt;"Não se aplica",SUMIF(TE!$F$47:'TE'!$F$83,$I$2,TE!$T$47:'TE'!$T$83),IF($E$2&lt;&gt;"Não se aplica",SUMIF(TE!$E$47:'TE'!$E$83,$I$2,TE!$T$47:'TE'!$T$83),IF($D$2&lt;&gt;"Não se aplica",SUMIF(TE!$D$47:'TE'!$D$83,$I$2,TE!$T$47:'TE'!$T$83),IF($C$2&lt;&gt;"Não se aplica",SUMIF(TE!$C$47:'TE'!$C$83,$I$2,TE!$T$47:'TE'!$T$83),IF($B$2&lt;&gt;"Não se aplica",SUMIF(TE!$B$47:'TE'!$B$83,$I$2,TE!$T$47:'TE'!$T$83),SUMIF(TE!$A$47:'TE'!$A$83,$I$2,TE!$T$47:'TE'!$T$83)))))))</f>
        <v>0</v>
      </c>
      <c r="K9" s="45">
        <f>IF($G$2&lt;&gt;"Não se aplica",SUMIF(TE!$G$47:'TE'!$G$83,$I$2,TE!$U$47:'TE'!$U$83),IF($F$2&lt;&gt;"Não se aplica",SUMIF(TE!$F$47:'TE'!$F$83,$I$2,TE!$U$47:'TE'!$U$83),IF($E$2&lt;&gt;"Não se aplica",SUMIF(TE!$E$47:'TE'!$E$83,$I$2,TE!$U$47:'TE'!$U$83),IF($D$2&lt;&gt;"Não se aplica",SUMIF(TE!$D$47:'TE'!$D$83,$I$2,TE!$U$47:'TE'!$U$83),IF($C$2&lt;&gt;"Não se aplica",SUMIF(TE!$C$47:'TE'!$C$83,$I$2,TE!$U$47:'TE'!$U$83),IF($B$2&lt;&gt;"Não se aplica",SUMIF(TE!$B$47:'TE'!$B$83,$I$2,TE!$U$47:'TE'!$U$83),SUMIF(TE!$A$47:'TE'!$A$83,$I$2,TE!$U$47:'TE'!$U$83)))))))</f>
        <v>0</v>
      </c>
      <c r="L9" s="45">
        <f>IF($G$2&lt;&gt;"Não se aplica",SUMIF(TE!$G$47:'TE'!$G$83,$I$2,TE!$V$47:'TE'!$V$83),IF($F$2&lt;&gt;"Não se aplica",SUMIF(TE!$F$47:'TE'!$F$83,$I$2,TE!$V$47:'TE'!$V$83),IF($E$2&lt;&gt;"Não se aplica",SUMIF(TE!$E$47:'TE'!$E$83,$I$2,TE!$V$47:'TE'!$V$83),IF($D$2&lt;&gt;"Não se aplica",SUMIF(TE!$D$47:'TE'!$D$83,$I$2,TE!$V$47:'TE'!$V$83),IF($C$2&lt;&gt;"Não se aplica",SUMIF(TE!$C$47:'TE'!$C$83,$I$2,TE!$V$47:'TE'!$V$83),IF($B$2&lt;&gt;"Não se aplica",SUMIF(TE!$B$47:'TE'!$B$83,$I$2,TE!$V$47:'TE'!$V$83),SUMIF(TE!$A$47:'TE'!$A$83,$I$2,TE!$V$47:'TE'!$V$83)))))))</f>
        <v>0</v>
      </c>
      <c r="M9" s="45">
        <f t="shared" si="0"/>
        <v>0</v>
      </c>
      <c r="AD9" s="14" t="s">
        <v>36</v>
      </c>
    </row>
    <row r="10" spans="1:33" x14ac:dyDescent="0.2">
      <c r="A10" s="14" t="s">
        <v>881</v>
      </c>
      <c r="B10" s="45">
        <f>SUMIF(TE!$A$47:'TE'!$A$83,$A$2,TE!$X$47:'TE'!$X$83)</f>
        <v>0</v>
      </c>
      <c r="C10" s="45">
        <f>SUMIF(TE!$A$47:'TE'!$A$83,$A$2,TE!$Y$47:'TE'!$Y$83)</f>
        <v>0</v>
      </c>
      <c r="D10" s="45">
        <f>SUMIF(TE!$A$47:'TE'!$A$83,$A$2,TE!$Z$47:'TE'!$Z$83)</f>
        <v>0</v>
      </c>
      <c r="E10" s="45">
        <f>SUMIF(TE!$A$47:'TE'!$A$83,$A$2,TE!$AA$47:'TE'!$AA$83)</f>
        <v>0</v>
      </c>
      <c r="F10" s="45">
        <f>SUMIF(TE!$A$47:'TE'!$A$83,$A$2,TE!$AB$47:'TE'!$AB$83)</f>
        <v>0</v>
      </c>
      <c r="G10" s="45">
        <f>SUMIF(TE!$A$47:'TE'!$A$83,$A$2,TE!$AC$47:'TE'!$AC$83)</f>
        <v>0</v>
      </c>
      <c r="H10" s="45">
        <f>SUMIF(TE!$A$47:'TE'!$A$83,$A$2,TE!$AD$47:'TE'!$AD$83)</f>
        <v>0</v>
      </c>
      <c r="I10" s="45">
        <f>SUMIF(TE!$A$47:'TE'!$A$83,$A$2,TE!$AE$47:'TE'!$AE$83)</f>
        <v>0</v>
      </c>
      <c r="J10" s="45">
        <f>SUMIF(TE!$A$47:'TE'!$A$83,$A$2,TE!$AF$47:'TE'!$AF$83)</f>
        <v>0</v>
      </c>
      <c r="K10" s="45">
        <f>SUMIF(TE!$A$47:'TE'!$A$83,$A$2,TE!$AG$47:'TE'!$AG$83)</f>
        <v>0</v>
      </c>
      <c r="L10" s="45">
        <f>SUMIF(TE!$A$47:'TE'!$A$83,$A$2,TE!$AH$47:'TE'!$AH$83)</f>
        <v>0</v>
      </c>
      <c r="M10" s="45">
        <f t="shared" si="0"/>
        <v>0</v>
      </c>
      <c r="AD10" s="14" t="s">
        <v>81</v>
      </c>
    </row>
    <row r="11" spans="1:33" x14ac:dyDescent="0.2">
      <c r="A11" s="14" t="s">
        <v>882</v>
      </c>
      <c r="B11" s="45">
        <f>SUMIF(TE!$A$47:'TE'!$A$83,$A$2,TE!$L$47:'TE'!$L$83)</f>
        <v>0</v>
      </c>
      <c r="C11" s="45">
        <f>SUMIF(TE!$A$47:'TE'!$A$83,$A$2,TE!$M$47:'TE'!$M$83)</f>
        <v>0</v>
      </c>
      <c r="D11" s="45">
        <f>SUMIF(TE!$A$47:'TE'!$A$83,$A$2,TE!$N$47:'TE'!$N$83)</f>
        <v>0</v>
      </c>
      <c r="E11" s="45">
        <f>SUMIF(TE!$A$47:'TE'!$A$83,$A$2,TE!$O$47:'TE'!$O$83)</f>
        <v>0</v>
      </c>
      <c r="F11" s="45">
        <f>SUMIF(TE!$A$47:'TE'!$A$83,$A$2,TE!$P$47:'TE'!$P$83)</f>
        <v>0</v>
      </c>
      <c r="G11" s="45">
        <f>SUMIF(TE!$A$47:'TE'!$A$83,$A$2,TE!$Q$47:'TE'!$Q$83)</f>
        <v>0</v>
      </c>
      <c r="H11" s="45">
        <f>SUMIF(TE!$A$47:'TE'!$A$83,$A$2,TE!$R$47:'TE'!$R$83)</f>
        <v>0</v>
      </c>
      <c r="I11" s="45">
        <f>SUMIF(TE!$A$47:'TE'!$A$83,$A$2,TE!$S$47:'TE'!$S$83)</f>
        <v>0</v>
      </c>
      <c r="J11" s="45">
        <f>SUMIF(TE!$A$47:'TE'!$A$83,$A$2,TE!$T$47:'TE'!$T$83)</f>
        <v>0</v>
      </c>
      <c r="K11" s="45">
        <f>SUMIF(TE!$A$47:'TE'!$A$83,$A$2,TE!$U$47:'TE'!$U$83)</f>
        <v>0</v>
      </c>
      <c r="L11" s="45">
        <f>SUMIF(TE!$A$47:'TE'!$A$83,$A$2,TE!$V$47:'TE'!$V$83)</f>
        <v>0</v>
      </c>
      <c r="M11" s="45">
        <f t="shared" si="0"/>
        <v>0</v>
      </c>
    </row>
    <row r="13" spans="1:33" x14ac:dyDescent="0.2">
      <c r="A13" s="14" t="s">
        <v>886</v>
      </c>
      <c r="B13" s="63">
        <f t="shared" ref="B13:M13" si="1">IF($M$6&lt;&gt;0,(B$7-B$6)/$M$6,0)</f>
        <v>0</v>
      </c>
      <c r="C13" s="63">
        <f t="shared" si="1"/>
        <v>0</v>
      </c>
      <c r="D13" s="63">
        <f t="shared" si="1"/>
        <v>0</v>
      </c>
      <c r="E13" s="63">
        <f t="shared" si="1"/>
        <v>0</v>
      </c>
      <c r="F13" s="63">
        <f t="shared" si="1"/>
        <v>0</v>
      </c>
      <c r="G13" s="63">
        <f t="shared" si="1"/>
        <v>-0.20271187171442731</v>
      </c>
      <c r="H13" s="63">
        <f t="shared" si="1"/>
        <v>0</v>
      </c>
      <c r="I13" s="63">
        <f t="shared" si="1"/>
        <v>0</v>
      </c>
      <c r="J13" s="63">
        <f t="shared" si="1"/>
        <v>0</v>
      </c>
      <c r="K13" s="63">
        <f t="shared" si="1"/>
        <v>0</v>
      </c>
      <c r="L13" s="63">
        <f t="shared" si="1"/>
        <v>0</v>
      </c>
      <c r="M13" s="63">
        <f t="shared" si="1"/>
        <v>-0.20271187171442731</v>
      </c>
    </row>
    <row r="14" spans="1:33" x14ac:dyDescent="0.2">
      <c r="A14" s="14" t="s">
        <v>887</v>
      </c>
      <c r="B14" s="63">
        <f t="shared" ref="B14:M14" si="2">IF($M$10&lt;&gt;0,(B$9-B$8)/$M$10,0)</f>
        <v>0</v>
      </c>
      <c r="C14" s="63">
        <f t="shared" si="2"/>
        <v>0</v>
      </c>
      <c r="D14" s="63">
        <f t="shared" si="2"/>
        <v>0</v>
      </c>
      <c r="E14" s="63">
        <f t="shared" si="2"/>
        <v>0</v>
      </c>
      <c r="F14" s="63">
        <f t="shared" si="2"/>
        <v>0</v>
      </c>
      <c r="G14" s="63">
        <f t="shared" si="2"/>
        <v>0</v>
      </c>
      <c r="H14" s="63">
        <f t="shared" si="2"/>
        <v>0</v>
      </c>
      <c r="I14" s="63">
        <f t="shared" si="2"/>
        <v>0</v>
      </c>
      <c r="J14" s="63">
        <f t="shared" si="2"/>
        <v>0</v>
      </c>
      <c r="K14" s="63">
        <f t="shared" si="2"/>
        <v>0</v>
      </c>
      <c r="L14" s="63">
        <f t="shared" si="2"/>
        <v>0</v>
      </c>
      <c r="M14" s="63">
        <f t="shared" si="2"/>
        <v>0</v>
      </c>
    </row>
    <row r="15" spans="1:33" x14ac:dyDescent="0.2">
      <c r="A15" s="14" t="s">
        <v>888</v>
      </c>
      <c r="B15" s="63">
        <f t="shared" ref="B15:M15" si="3">IF($M$8&lt;&gt;0,(B$9-B$8)/$M$8,0)</f>
        <v>0</v>
      </c>
      <c r="C15" s="63">
        <f t="shared" si="3"/>
        <v>0</v>
      </c>
      <c r="D15" s="63">
        <f t="shared" si="3"/>
        <v>0</v>
      </c>
      <c r="E15" s="63">
        <f t="shared" si="3"/>
        <v>0</v>
      </c>
      <c r="F15" s="63">
        <f t="shared" si="3"/>
        <v>0</v>
      </c>
      <c r="G15" s="63">
        <f t="shared" si="3"/>
        <v>0</v>
      </c>
      <c r="H15" s="63">
        <f t="shared" si="3"/>
        <v>0</v>
      </c>
      <c r="I15" s="63">
        <f t="shared" si="3"/>
        <v>0</v>
      </c>
      <c r="J15" s="63">
        <f t="shared" si="3"/>
        <v>0</v>
      </c>
      <c r="K15" s="63">
        <f t="shared" si="3"/>
        <v>0</v>
      </c>
      <c r="L15" s="63">
        <f t="shared" si="3"/>
        <v>0</v>
      </c>
      <c r="M15" s="63">
        <f t="shared" si="3"/>
        <v>0</v>
      </c>
    </row>
  </sheetData>
  <dataValidations count="4">
    <dataValidation type="list" allowBlank="1" showInputMessage="1" showErrorMessage="1" sqref="A2 G2" xr:uid="{071C0E1C-653E-47B9-A24C-C6849423FFC0}">
      <formula1>AA1:AA5</formula1>
    </dataValidation>
    <dataValidation type="list" allowBlank="1" showInputMessage="1" showErrorMessage="1" sqref="B2 C2" xr:uid="{6867D9CC-65F1-466A-BC02-0C5462B41D21}">
      <formula1>AB1:AB4</formula1>
    </dataValidation>
    <dataValidation type="list" allowBlank="1" showInputMessage="1" showErrorMessage="1" sqref="D2" xr:uid="{45529D19-4B3B-45C5-9B16-F1AF37DC3430}">
      <formula1>AD1:AD10</formula1>
    </dataValidation>
    <dataValidation type="list" allowBlank="1" showInputMessage="1" showErrorMessage="1" sqref="E2 F2" xr:uid="{C22E324E-7420-411D-8792-26CC91501EBB}">
      <formula1>AE1:AE1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BB6B-B4C8-435F-A4FA-2D4C1B4254E9}">
  <sheetPr codeName="Planilha26"/>
  <dimension ref="B1:U15"/>
  <sheetViews>
    <sheetView showGridLines="0" workbookViewId="0">
      <selection activeCell="U1" sqref="U1"/>
    </sheetView>
  </sheetViews>
  <sheetFormatPr defaultRowHeight="15" x14ac:dyDescent="0.25"/>
  <sheetData>
    <row r="1" spans="2:21" x14ac:dyDescent="0.25">
      <c r="B1" s="57" t="s">
        <v>500</v>
      </c>
      <c r="C1" s="57" t="s">
        <v>501</v>
      </c>
      <c r="D1" s="57" t="s">
        <v>502</v>
      </c>
      <c r="E1" s="57" t="s">
        <v>2</v>
      </c>
      <c r="F1" s="57" t="s">
        <v>503</v>
      </c>
      <c r="G1" s="57" t="s">
        <v>407</v>
      </c>
      <c r="H1" s="57" t="s">
        <v>3</v>
      </c>
      <c r="I1" s="57" t="s">
        <v>504</v>
      </c>
      <c r="J1" s="57" t="s">
        <v>5</v>
      </c>
      <c r="K1" s="57" t="s">
        <v>1</v>
      </c>
      <c r="L1" s="57" t="s">
        <v>505</v>
      </c>
      <c r="M1" s="57" t="s">
        <v>506</v>
      </c>
      <c r="N1" s="57" t="s">
        <v>507</v>
      </c>
      <c r="O1" s="57" t="s">
        <v>508</v>
      </c>
      <c r="P1" s="57" t="s">
        <v>509</v>
      </c>
      <c r="Q1" s="57" t="s">
        <v>510</v>
      </c>
      <c r="R1" s="57" t="s">
        <v>511</v>
      </c>
      <c r="S1" s="57" t="s">
        <v>512</v>
      </c>
      <c r="T1" s="57" t="s">
        <v>513</v>
      </c>
      <c r="U1" s="57" t="s">
        <v>514</v>
      </c>
    </row>
    <row r="2" spans="2:21" x14ac:dyDescent="0.25">
      <c r="B2" s="56" t="s">
        <v>481</v>
      </c>
      <c r="C2" s="56">
        <v>8559</v>
      </c>
      <c r="D2" s="56">
        <v>5351</v>
      </c>
      <c r="E2" s="56" t="s">
        <v>63</v>
      </c>
      <c r="F2" s="56">
        <v>1</v>
      </c>
      <c r="G2" s="56" t="s">
        <v>482</v>
      </c>
      <c r="H2" s="56" t="s">
        <v>37</v>
      </c>
      <c r="I2" s="56" t="s">
        <v>38</v>
      </c>
      <c r="J2" s="56" t="s">
        <v>483</v>
      </c>
      <c r="K2" s="56" t="s">
        <v>58</v>
      </c>
      <c r="L2" s="56">
        <v>0.15</v>
      </c>
      <c r="M2" s="56">
        <v>0.12</v>
      </c>
      <c r="N2" s="56">
        <v>0.09</v>
      </c>
      <c r="O2" s="56">
        <v>0.06</v>
      </c>
      <c r="P2" s="56">
        <v>0.03</v>
      </c>
      <c r="Q2" s="56">
        <v>0</v>
      </c>
      <c r="R2" s="56"/>
      <c r="S2" s="56"/>
      <c r="T2" s="56"/>
      <c r="U2" s="56">
        <v>3</v>
      </c>
    </row>
    <row r="3" spans="2:21" x14ac:dyDescent="0.25">
      <c r="B3" s="56" t="s">
        <v>484</v>
      </c>
      <c r="C3" s="56">
        <v>8560</v>
      </c>
      <c r="D3" s="56">
        <v>5351</v>
      </c>
      <c r="E3" s="56" t="s">
        <v>70</v>
      </c>
      <c r="F3" s="56">
        <v>1</v>
      </c>
      <c r="G3" s="56" t="s">
        <v>482</v>
      </c>
      <c r="H3" s="56" t="s">
        <v>37</v>
      </c>
      <c r="I3" s="56" t="s">
        <v>38</v>
      </c>
      <c r="J3" s="56" t="s">
        <v>483</v>
      </c>
      <c r="K3" s="56" t="s">
        <v>58</v>
      </c>
      <c r="L3" s="56">
        <v>0.15</v>
      </c>
      <c r="M3" s="56">
        <v>0.12</v>
      </c>
      <c r="N3" s="56">
        <v>0.09</v>
      </c>
      <c r="O3" s="56">
        <v>0.06</v>
      </c>
      <c r="P3" s="56">
        <v>0.03</v>
      </c>
      <c r="Q3" s="56">
        <v>0</v>
      </c>
      <c r="R3" s="56"/>
      <c r="S3" s="56"/>
      <c r="T3" s="56"/>
      <c r="U3" s="56">
        <v>3</v>
      </c>
    </row>
    <row r="4" spans="2:21" x14ac:dyDescent="0.25">
      <c r="B4" s="56" t="s">
        <v>485</v>
      </c>
      <c r="C4" s="56">
        <v>8561</v>
      </c>
      <c r="D4" s="56">
        <v>5351</v>
      </c>
      <c r="E4" s="56" t="s">
        <v>486</v>
      </c>
      <c r="F4" s="56">
        <v>1</v>
      </c>
      <c r="G4" s="56" t="s">
        <v>482</v>
      </c>
      <c r="H4" s="56" t="s">
        <v>37</v>
      </c>
      <c r="I4" s="56" t="s">
        <v>38</v>
      </c>
      <c r="J4" s="56" t="s">
        <v>483</v>
      </c>
      <c r="K4" s="56" t="s">
        <v>58</v>
      </c>
      <c r="L4" s="56">
        <v>0.15</v>
      </c>
      <c r="M4" s="56">
        <v>0.12</v>
      </c>
      <c r="N4" s="56">
        <v>0.09</v>
      </c>
      <c r="O4" s="56">
        <v>0.06</v>
      </c>
      <c r="P4" s="56">
        <v>0.03</v>
      </c>
      <c r="Q4" s="56">
        <v>0</v>
      </c>
      <c r="R4" s="56"/>
      <c r="S4" s="56"/>
      <c r="T4" s="56"/>
      <c r="U4" s="56">
        <v>3</v>
      </c>
    </row>
    <row r="5" spans="2:21" x14ac:dyDescent="0.25">
      <c r="B5" s="56" t="s">
        <v>487</v>
      </c>
      <c r="C5" s="56">
        <v>8562</v>
      </c>
      <c r="D5" s="56">
        <v>5351</v>
      </c>
      <c r="E5" s="56" t="s">
        <v>23</v>
      </c>
      <c r="F5" s="56">
        <v>1</v>
      </c>
      <c r="G5" s="56" t="s">
        <v>482</v>
      </c>
      <c r="H5" s="56" t="s">
        <v>37</v>
      </c>
      <c r="I5" s="56" t="s">
        <v>38</v>
      </c>
      <c r="J5" s="56" t="s">
        <v>483</v>
      </c>
      <c r="K5" s="56" t="s">
        <v>28</v>
      </c>
      <c r="L5" s="56">
        <v>0.15</v>
      </c>
      <c r="M5" s="56">
        <v>0.12</v>
      </c>
      <c r="N5" s="56">
        <v>0.09</v>
      </c>
      <c r="O5" s="56">
        <v>0.06</v>
      </c>
      <c r="P5" s="56">
        <v>0.03</v>
      </c>
      <c r="Q5" s="56">
        <v>0</v>
      </c>
      <c r="R5" s="56"/>
      <c r="S5" s="56"/>
      <c r="T5" s="56"/>
      <c r="U5" s="56">
        <v>3</v>
      </c>
    </row>
    <row r="6" spans="2:21" x14ac:dyDescent="0.25">
      <c r="B6" s="56" t="s">
        <v>488</v>
      </c>
      <c r="C6" s="56">
        <v>8563</v>
      </c>
      <c r="D6" s="56">
        <v>5351</v>
      </c>
      <c r="E6" s="56" t="s">
        <v>76</v>
      </c>
      <c r="F6" s="56">
        <v>1</v>
      </c>
      <c r="G6" s="56" t="s">
        <v>482</v>
      </c>
      <c r="H6" s="56" t="s">
        <v>37</v>
      </c>
      <c r="I6" s="56" t="s">
        <v>38</v>
      </c>
      <c r="J6" s="56" t="s">
        <v>483</v>
      </c>
      <c r="K6" s="56" t="s">
        <v>28</v>
      </c>
      <c r="L6" s="56">
        <v>0.15</v>
      </c>
      <c r="M6" s="56">
        <v>0.12</v>
      </c>
      <c r="N6" s="56">
        <v>0.09</v>
      </c>
      <c r="O6" s="56">
        <v>0.06</v>
      </c>
      <c r="P6" s="56">
        <v>0.03</v>
      </c>
      <c r="Q6" s="56">
        <v>0</v>
      </c>
      <c r="R6" s="56"/>
      <c r="S6" s="56"/>
      <c r="T6" s="56"/>
      <c r="U6" s="56">
        <v>3</v>
      </c>
    </row>
    <row r="7" spans="2:21" x14ac:dyDescent="0.25">
      <c r="B7" s="56" t="s">
        <v>489</v>
      </c>
      <c r="C7" s="56">
        <v>8564</v>
      </c>
      <c r="D7" s="56">
        <v>5351</v>
      </c>
      <c r="E7" s="56" t="s">
        <v>23</v>
      </c>
      <c r="F7" s="56">
        <v>1</v>
      </c>
      <c r="G7" s="56" t="s">
        <v>482</v>
      </c>
      <c r="H7" s="56" t="s">
        <v>32</v>
      </c>
      <c r="I7" s="56" t="s">
        <v>79</v>
      </c>
      <c r="J7" s="56" t="s">
        <v>483</v>
      </c>
      <c r="K7" s="56" t="s">
        <v>31</v>
      </c>
      <c r="L7" s="56">
        <v>0.3</v>
      </c>
      <c r="M7" s="56">
        <v>0.24</v>
      </c>
      <c r="N7" s="56">
        <v>0.18</v>
      </c>
      <c r="O7" s="56">
        <v>0.12</v>
      </c>
      <c r="P7" s="56">
        <v>0.06</v>
      </c>
      <c r="Q7" s="56">
        <v>0</v>
      </c>
      <c r="R7" s="56"/>
      <c r="S7" s="56"/>
      <c r="T7" s="56"/>
      <c r="U7" s="56">
        <v>3</v>
      </c>
    </row>
    <row r="8" spans="2:21" x14ac:dyDescent="0.25">
      <c r="B8" s="56" t="s">
        <v>490</v>
      </c>
      <c r="C8" s="56">
        <v>8565</v>
      </c>
      <c r="D8" s="56">
        <v>5351</v>
      </c>
      <c r="E8" s="56" t="s">
        <v>491</v>
      </c>
      <c r="F8" s="56">
        <v>1</v>
      </c>
      <c r="G8" s="56" t="s">
        <v>482</v>
      </c>
      <c r="H8" s="56" t="s">
        <v>32</v>
      </c>
      <c r="I8" s="56" t="s">
        <v>79</v>
      </c>
      <c r="J8" s="56" t="s">
        <v>483</v>
      </c>
      <c r="K8" s="56" t="s">
        <v>31</v>
      </c>
      <c r="L8" s="56">
        <v>0.3</v>
      </c>
      <c r="M8" s="56">
        <v>0.24</v>
      </c>
      <c r="N8" s="56">
        <v>0.18</v>
      </c>
      <c r="O8" s="56">
        <v>0.12</v>
      </c>
      <c r="P8" s="56">
        <v>0.06</v>
      </c>
      <c r="Q8" s="56">
        <v>0</v>
      </c>
      <c r="R8" s="56"/>
      <c r="S8" s="56"/>
      <c r="T8" s="56"/>
      <c r="U8" s="56">
        <v>3</v>
      </c>
    </row>
    <row r="9" spans="2:21" x14ac:dyDescent="0.25">
      <c r="B9" s="56" t="s">
        <v>492</v>
      </c>
      <c r="C9" s="56">
        <v>8566</v>
      </c>
      <c r="D9" s="56">
        <v>5351</v>
      </c>
      <c r="E9" s="56" t="s">
        <v>63</v>
      </c>
      <c r="F9" s="56">
        <v>1</v>
      </c>
      <c r="G9" s="56" t="s">
        <v>482</v>
      </c>
      <c r="H9" s="56" t="s">
        <v>32</v>
      </c>
      <c r="I9" s="56" t="s">
        <v>25</v>
      </c>
      <c r="J9" s="56" t="s">
        <v>493</v>
      </c>
      <c r="K9" s="56" t="s">
        <v>58</v>
      </c>
      <c r="L9" s="56">
        <v>0.1</v>
      </c>
      <c r="M9" s="56">
        <v>0.08</v>
      </c>
      <c r="N9" s="56">
        <v>0.06</v>
      </c>
      <c r="O9" s="56">
        <v>0.04</v>
      </c>
      <c r="P9" s="56">
        <v>0.02</v>
      </c>
      <c r="Q9" s="56">
        <v>0</v>
      </c>
      <c r="R9" s="56"/>
      <c r="S9" s="56"/>
      <c r="T9" s="56"/>
      <c r="U9" s="56">
        <v>3</v>
      </c>
    </row>
    <row r="10" spans="2:21" x14ac:dyDescent="0.25">
      <c r="B10" s="56" t="s">
        <v>494</v>
      </c>
      <c r="C10" s="56">
        <v>8567</v>
      </c>
      <c r="D10" s="56">
        <v>5351</v>
      </c>
      <c r="E10" s="56" t="s">
        <v>70</v>
      </c>
      <c r="F10" s="56">
        <v>1</v>
      </c>
      <c r="G10" s="56" t="s">
        <v>482</v>
      </c>
      <c r="H10" s="56" t="s">
        <v>32</v>
      </c>
      <c r="I10" s="56" t="s">
        <v>25</v>
      </c>
      <c r="J10" s="56" t="s">
        <v>493</v>
      </c>
      <c r="K10" s="56" t="s">
        <v>58</v>
      </c>
      <c r="L10" s="56">
        <v>0.1</v>
      </c>
      <c r="M10" s="56">
        <v>0.08</v>
      </c>
      <c r="N10" s="56">
        <v>0.06</v>
      </c>
      <c r="O10" s="56">
        <v>0.04</v>
      </c>
      <c r="P10" s="56">
        <v>0.02</v>
      </c>
      <c r="Q10" s="56">
        <v>0</v>
      </c>
      <c r="R10" s="56"/>
      <c r="S10" s="56"/>
      <c r="T10" s="56"/>
      <c r="U10" s="56">
        <v>3</v>
      </c>
    </row>
    <row r="11" spans="2:21" x14ac:dyDescent="0.25">
      <c r="B11" s="56" t="s">
        <v>495</v>
      </c>
      <c r="C11" s="56">
        <v>8568</v>
      </c>
      <c r="D11" s="56">
        <v>5351</v>
      </c>
      <c r="E11" s="56" t="s">
        <v>23</v>
      </c>
      <c r="F11" s="56">
        <v>1</v>
      </c>
      <c r="G11" s="56" t="s">
        <v>482</v>
      </c>
      <c r="H11" s="56" t="s">
        <v>32</v>
      </c>
      <c r="I11" s="56" t="s">
        <v>25</v>
      </c>
      <c r="J11" s="56" t="s">
        <v>493</v>
      </c>
      <c r="K11" s="56" t="s">
        <v>58</v>
      </c>
      <c r="L11" s="56">
        <v>0.1</v>
      </c>
      <c r="M11" s="56">
        <v>0.08</v>
      </c>
      <c r="N11" s="56">
        <v>0.06</v>
      </c>
      <c r="O11" s="56">
        <v>0.04</v>
      </c>
      <c r="P11" s="56">
        <v>0.02</v>
      </c>
      <c r="Q11" s="56">
        <v>0</v>
      </c>
      <c r="R11" s="56"/>
      <c r="S11" s="56"/>
      <c r="T11" s="56"/>
      <c r="U11" s="56">
        <v>3</v>
      </c>
    </row>
    <row r="12" spans="2:21" x14ac:dyDescent="0.25">
      <c r="B12" s="56" t="s">
        <v>496</v>
      </c>
      <c r="C12" s="56">
        <v>8569</v>
      </c>
      <c r="D12" s="56">
        <v>5351</v>
      </c>
      <c r="E12" s="56" t="s">
        <v>23</v>
      </c>
      <c r="F12" s="56">
        <v>1</v>
      </c>
      <c r="G12" s="56" t="s">
        <v>482</v>
      </c>
      <c r="H12" s="56" t="s">
        <v>32</v>
      </c>
      <c r="I12" s="56" t="s">
        <v>25</v>
      </c>
      <c r="J12" s="56" t="s">
        <v>32</v>
      </c>
      <c r="K12" s="56" t="s">
        <v>31</v>
      </c>
      <c r="L12" s="56">
        <v>0.3</v>
      </c>
      <c r="M12" s="56">
        <v>0.24</v>
      </c>
      <c r="N12" s="56">
        <v>0.18</v>
      </c>
      <c r="O12" s="56">
        <v>0.12</v>
      </c>
      <c r="P12" s="56">
        <v>0.06</v>
      </c>
      <c r="Q12" s="56">
        <v>0</v>
      </c>
      <c r="R12" s="56"/>
      <c r="S12" s="56"/>
      <c r="T12" s="56"/>
      <c r="U12" s="56">
        <v>3</v>
      </c>
    </row>
    <row r="13" spans="2:21" x14ac:dyDescent="0.25">
      <c r="B13" s="56" t="s">
        <v>497</v>
      </c>
      <c r="C13" s="56">
        <v>8570</v>
      </c>
      <c r="D13" s="56">
        <v>5351</v>
      </c>
      <c r="E13" s="56" t="s">
        <v>76</v>
      </c>
      <c r="F13" s="56">
        <v>1</v>
      </c>
      <c r="G13" s="56" t="s">
        <v>482</v>
      </c>
      <c r="H13" s="56" t="s">
        <v>32</v>
      </c>
      <c r="I13" s="56" t="s">
        <v>25</v>
      </c>
      <c r="J13" s="56" t="s">
        <v>32</v>
      </c>
      <c r="K13" s="56" t="s">
        <v>31</v>
      </c>
      <c r="L13" s="56">
        <v>0.3</v>
      </c>
      <c r="M13" s="56">
        <v>0.24</v>
      </c>
      <c r="N13" s="56">
        <v>0.18</v>
      </c>
      <c r="O13" s="56">
        <v>0.12</v>
      </c>
      <c r="P13" s="56">
        <v>0.06</v>
      </c>
      <c r="Q13" s="56">
        <v>0</v>
      </c>
      <c r="R13" s="56"/>
      <c r="S13" s="56"/>
      <c r="T13" s="56"/>
      <c r="U13" s="56">
        <v>3</v>
      </c>
    </row>
    <row r="14" spans="2:21" x14ac:dyDescent="0.25">
      <c r="B14" s="56" t="s">
        <v>498</v>
      </c>
      <c r="C14" s="56">
        <v>8571</v>
      </c>
      <c r="D14" s="56">
        <v>5351</v>
      </c>
      <c r="E14" s="56" t="s">
        <v>23</v>
      </c>
      <c r="F14" s="56">
        <v>1</v>
      </c>
      <c r="G14" s="56" t="s">
        <v>482</v>
      </c>
      <c r="H14" s="56" t="s">
        <v>32</v>
      </c>
      <c r="I14" s="56" t="s">
        <v>80</v>
      </c>
      <c r="J14" s="56" t="s">
        <v>483</v>
      </c>
      <c r="K14" s="56" t="s">
        <v>31</v>
      </c>
      <c r="L14" s="56">
        <v>0.4</v>
      </c>
      <c r="M14" s="56">
        <v>0.32</v>
      </c>
      <c r="N14" s="56">
        <v>0.24</v>
      </c>
      <c r="O14" s="56">
        <v>0.16</v>
      </c>
      <c r="P14" s="56">
        <v>0.08</v>
      </c>
      <c r="Q14" s="56">
        <v>0</v>
      </c>
      <c r="R14" s="56"/>
      <c r="S14" s="56"/>
      <c r="T14" s="56"/>
      <c r="U14" s="56">
        <v>3</v>
      </c>
    </row>
    <row r="15" spans="2:21" x14ac:dyDescent="0.25">
      <c r="B15" s="56" t="s">
        <v>499</v>
      </c>
      <c r="C15" s="56">
        <v>8572</v>
      </c>
      <c r="D15" s="56">
        <v>5351</v>
      </c>
      <c r="E15" s="56" t="s">
        <v>491</v>
      </c>
      <c r="F15" s="56">
        <v>1</v>
      </c>
      <c r="G15" s="56" t="s">
        <v>482</v>
      </c>
      <c r="H15" s="56" t="s">
        <v>32</v>
      </c>
      <c r="I15" s="56" t="s">
        <v>80</v>
      </c>
      <c r="J15" s="56" t="s">
        <v>483</v>
      </c>
      <c r="K15" s="56" t="s">
        <v>31</v>
      </c>
      <c r="L15" s="56">
        <v>0.4</v>
      </c>
      <c r="M15" s="56">
        <v>0.32</v>
      </c>
      <c r="N15" s="56">
        <v>0.24</v>
      </c>
      <c r="O15" s="56">
        <v>0.16</v>
      </c>
      <c r="P15" s="56">
        <v>0.08</v>
      </c>
      <c r="Q15" s="56">
        <v>0</v>
      </c>
      <c r="R15" s="56"/>
      <c r="S15" s="56"/>
      <c r="T15" s="56"/>
      <c r="U15" s="56">
        <v>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D5A0-E7C6-454B-82FD-F5D1990DFFE1}">
  <sheetPr codeName="Plan1"/>
  <dimension ref="A1:L18"/>
  <sheetViews>
    <sheetView showGridLines="0" workbookViewId="0">
      <selection activeCell="A35" sqref="A35"/>
    </sheetView>
  </sheetViews>
  <sheetFormatPr defaultColWidth="9.140625" defaultRowHeight="11.25" x14ac:dyDescent="0.2"/>
  <cols>
    <col min="1" max="1" width="31.42578125" style="14" bestFit="1" customWidth="1"/>
    <col min="2" max="2" width="18.42578125" style="14" customWidth="1"/>
    <col min="3" max="12" width="11" style="14" customWidth="1"/>
    <col min="13" max="16384" width="9.140625" style="14"/>
  </cols>
  <sheetData>
    <row r="1" spans="1:12" ht="12" thickBot="1" x14ac:dyDescent="0.25">
      <c r="A1" s="74" t="s">
        <v>903</v>
      </c>
      <c r="B1" s="74" t="s">
        <v>22</v>
      </c>
      <c r="C1" s="74" t="s">
        <v>902</v>
      </c>
      <c r="D1" s="74" t="s">
        <v>901</v>
      </c>
      <c r="E1" s="74" t="s">
        <v>28</v>
      </c>
      <c r="F1" s="74" t="s">
        <v>900</v>
      </c>
      <c r="G1" s="74" t="s">
        <v>899</v>
      </c>
      <c r="H1" s="74" t="s">
        <v>400</v>
      </c>
      <c r="I1" s="74" t="s">
        <v>58</v>
      </c>
      <c r="J1" s="74" t="s">
        <v>399</v>
      </c>
      <c r="K1" s="74" t="s">
        <v>398</v>
      </c>
      <c r="L1" s="74" t="s">
        <v>397</v>
      </c>
    </row>
    <row r="2" spans="1:12" x14ac:dyDescent="0.2">
      <c r="A2" s="70" t="s">
        <v>898</v>
      </c>
      <c r="B2" s="76">
        <f t="shared" ref="B2:L2" si="0">12*B3*(1-$B$10/IF($B$8&lt;&gt;0,$B$8,1))/IF(((((1+$B$6)^(1/IF($B$9&lt;&gt;0,$B$9,1))*$B$6)/(IF((1+$B$6)^(1/IF($B$9&lt;&gt;0,$B$9,1))-1&lt;&gt;0,(1+$B$6)^(1/IF($B$9&lt;&gt;0,$B$9,1))-1,1))))&lt;&gt;0,(((1+$B$6)^(1/IF($B$9&lt;&gt;0,$B$9,1))*$B$6)/(IF((1+$B$6)^(1/IF($B$9&lt;&gt;0,$B$9,1))-1&lt;&gt;0,(1+$B$6)^(1/IF($B$9&lt;&gt;0,$B$9,1))-1,1))),1)</f>
        <v>403.8721222621503</v>
      </c>
      <c r="C2" s="76">
        <f t="shared" si="0"/>
        <v>379.63979492642119</v>
      </c>
      <c r="D2" s="76">
        <f t="shared" si="0"/>
        <v>371.56235248117827</v>
      </c>
      <c r="E2" s="76">
        <f t="shared" si="0"/>
        <v>403.8721222621503</v>
      </c>
      <c r="F2" s="76">
        <f t="shared" si="0"/>
        <v>0</v>
      </c>
      <c r="G2" s="76">
        <f t="shared" si="0"/>
        <v>0</v>
      </c>
      <c r="H2" s="76">
        <f t="shared" si="0"/>
        <v>0</v>
      </c>
      <c r="I2" s="76">
        <f t="shared" si="0"/>
        <v>493.70739525678124</v>
      </c>
      <c r="J2" s="76">
        <f t="shared" si="0"/>
        <v>0</v>
      </c>
      <c r="K2" s="76">
        <f t="shared" si="0"/>
        <v>0</v>
      </c>
      <c r="L2" s="76">
        <f t="shared" si="0"/>
        <v>0</v>
      </c>
    </row>
    <row r="3" spans="1:12" ht="12" thickBot="1" x14ac:dyDescent="0.25">
      <c r="A3" s="68" t="s">
        <v>897</v>
      </c>
      <c r="B3" s="75">
        <f>D10</f>
        <v>27.330318547395905</v>
      </c>
      <c r="C3" s="75">
        <f>B3*(1-CUSTOS!M39)</f>
        <v>25.690499434552148</v>
      </c>
      <c r="D3" s="75">
        <f>B3*(1-CUSTOS!M40)</f>
        <v>25.143893063604235</v>
      </c>
      <c r="E3" s="75">
        <f>B3</f>
        <v>27.330318547395905</v>
      </c>
      <c r="F3" s="75">
        <v>0</v>
      </c>
      <c r="G3" s="75">
        <v>0</v>
      </c>
      <c r="H3" s="75">
        <v>0</v>
      </c>
      <c r="I3" s="75">
        <f>'TUSD BE'!$AC$6</f>
        <v>33.409536429490451</v>
      </c>
      <c r="J3" s="75">
        <v>0</v>
      </c>
      <c r="K3" s="75">
        <v>0</v>
      </c>
      <c r="L3" s="75">
        <v>0</v>
      </c>
    </row>
    <row r="5" spans="1:12" ht="12" thickBot="1" x14ac:dyDescent="0.25">
      <c r="A5" s="74" t="s">
        <v>896</v>
      </c>
      <c r="B5" s="74" t="s">
        <v>895</v>
      </c>
    </row>
    <row r="6" spans="1:12" x14ac:dyDescent="0.2">
      <c r="A6" s="70" t="s">
        <v>894</v>
      </c>
      <c r="B6" s="73">
        <v>3.7699999999999997E-2</v>
      </c>
    </row>
    <row r="7" spans="1:12" x14ac:dyDescent="0.2">
      <c r="A7" s="72" t="s">
        <v>893</v>
      </c>
      <c r="B7" s="71">
        <v>0</v>
      </c>
    </row>
    <row r="8" spans="1:12" x14ac:dyDescent="0.2">
      <c r="A8" s="70" t="s">
        <v>892</v>
      </c>
      <c r="B8" s="69">
        <v>5092565.536554425</v>
      </c>
      <c r="D8" s="14" t="s">
        <v>945</v>
      </c>
    </row>
    <row r="9" spans="1:12" x14ac:dyDescent="0.2">
      <c r="A9" s="72" t="s">
        <v>891</v>
      </c>
      <c r="B9" s="71">
        <v>0.04</v>
      </c>
      <c r="D9" s="14">
        <v>24.457119540323749</v>
      </c>
      <c r="E9" s="14">
        <v>29.897237561495761</v>
      </c>
    </row>
    <row r="10" spans="1:12" x14ac:dyDescent="0.2">
      <c r="A10" s="70" t="s">
        <v>890</v>
      </c>
      <c r="B10" s="69">
        <v>4700829.7260502391</v>
      </c>
      <c r="D10" s="14">
        <f>D9*E11</f>
        <v>27.330318547395905</v>
      </c>
      <c r="E10" s="45">
        <f>I3</f>
        <v>33.409536429490451</v>
      </c>
    </row>
    <row r="11" spans="1:12" ht="12" thickBot="1" x14ac:dyDescent="0.25">
      <c r="A11" s="68" t="s">
        <v>889</v>
      </c>
      <c r="B11" s="67">
        <f>(1+$B$6)^(1/IF($B$9&lt;&gt;0,$B$9,1))*$B$6/IF((1+$B$6)^(1/IF($B$9&lt;&gt;0,$B$9,1))-1&lt;&gt;0,(1+$B$6)^(1/IF($B$9&lt;&gt;0,$B$9,1))-1,1)</f>
        <v>6.2465282847789703E-2</v>
      </c>
      <c r="E11" s="14">
        <f>E10/E9</f>
        <v>1.1174790433654691</v>
      </c>
    </row>
    <row r="18" spans="2:2" x14ac:dyDescent="0.2">
      <c r="B18" s="6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871C-B887-4590-86CB-B0484AC4526F}">
  <sheetPr codeName="Planilha27"/>
  <dimension ref="B1:AT49"/>
  <sheetViews>
    <sheetView showGridLines="0" workbookViewId="0">
      <selection activeCell="B4" sqref="B4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25" bestFit="1" customWidth="1"/>
    <col min="30" max="30" width="14.42578125" bestFit="1" customWidth="1"/>
    <col min="31" max="31" width="12" bestFit="1" customWidth="1"/>
    <col min="32" max="32" width="17.7109375" bestFit="1" customWidth="1"/>
    <col min="33" max="33" width="12.5703125" bestFit="1" customWidth="1"/>
    <col min="34" max="34" width="10.7109375" bestFit="1" customWidth="1"/>
    <col min="35" max="35" width="16.5703125" bestFit="1" customWidth="1"/>
    <col min="36" max="36" width="14.5703125" bestFit="1" customWidth="1"/>
    <col min="37" max="37" width="9.85546875" bestFit="1" customWidth="1"/>
    <col min="38" max="38" width="12.5703125" bestFit="1" customWidth="1"/>
    <col min="39" max="39" width="12.28515625" bestFit="1" customWidth="1"/>
    <col min="40" max="40" width="14.140625" bestFit="1" customWidth="1"/>
    <col min="41" max="41" width="25.28515625" bestFit="1" customWidth="1"/>
    <col min="42" max="42" width="17.85546875" bestFit="1" customWidth="1"/>
    <col min="43" max="43" width="13.42578125" bestFit="1" customWidth="1"/>
    <col min="44" max="44" width="13.28515625" bestFit="1" customWidth="1"/>
    <col min="45" max="45" width="22.140625" bestFit="1" customWidth="1"/>
    <col min="46" max="46" width="12.5703125" bestFit="1" customWidth="1"/>
  </cols>
  <sheetData>
    <row r="1" spans="2:46" ht="12" customHeight="1" x14ac:dyDescent="0.25">
      <c r="L1" s="122" t="s">
        <v>943</v>
      </c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  <c r="AI1" s="122" t="s">
        <v>944</v>
      </c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</row>
    <row r="2" spans="2:46" ht="12" customHeight="1" x14ac:dyDescent="0.25">
      <c r="L2" s="124" t="s">
        <v>264</v>
      </c>
      <c r="M2" s="124"/>
      <c r="N2" s="124"/>
      <c r="O2" s="124"/>
      <c r="P2" s="124"/>
      <c r="Q2" s="124"/>
      <c r="R2" s="124"/>
      <c r="S2" s="125"/>
      <c r="T2" s="124" t="s">
        <v>273</v>
      </c>
      <c r="U2" s="124"/>
      <c r="V2" s="124"/>
      <c r="W2" s="124"/>
      <c r="X2" s="124"/>
      <c r="Y2" s="124"/>
      <c r="Z2" s="125"/>
      <c r="AA2" s="87" t="s">
        <v>281</v>
      </c>
      <c r="AB2" s="124" t="s">
        <v>25</v>
      </c>
      <c r="AC2" s="124"/>
      <c r="AD2" s="125"/>
      <c r="AE2" s="124" t="s">
        <v>942</v>
      </c>
      <c r="AF2" s="124"/>
      <c r="AG2" s="124"/>
      <c r="AH2" s="125"/>
      <c r="AI2" s="124" t="s">
        <v>264</v>
      </c>
      <c r="AJ2" s="124"/>
      <c r="AK2" s="124"/>
      <c r="AL2" s="124"/>
      <c r="AM2" s="125"/>
      <c r="AN2" s="87" t="s">
        <v>295</v>
      </c>
      <c r="AO2" s="124" t="s">
        <v>273</v>
      </c>
      <c r="AP2" s="124"/>
      <c r="AQ2" s="124"/>
      <c r="AR2" s="124"/>
      <c r="AS2" s="125"/>
      <c r="AT2" s="86" t="s">
        <v>942</v>
      </c>
    </row>
    <row r="3" spans="2:46" ht="12" customHeight="1" x14ac:dyDescent="0.25">
      <c r="B3" s="77" t="s">
        <v>49</v>
      </c>
      <c r="C3" s="78" t="s">
        <v>50</v>
      </c>
      <c r="D3" s="78" t="s">
        <v>51</v>
      </c>
      <c r="E3" s="78" t="s">
        <v>52</v>
      </c>
      <c r="F3" s="78" t="s">
        <v>53</v>
      </c>
      <c r="G3" s="78" t="s">
        <v>55</v>
      </c>
      <c r="H3" s="78" t="s">
        <v>56</v>
      </c>
      <c r="I3" s="78" t="s">
        <v>545</v>
      </c>
      <c r="J3" s="78" t="s">
        <v>904</v>
      </c>
      <c r="K3" s="78" t="s">
        <v>905</v>
      </c>
      <c r="L3" s="78" t="s">
        <v>906</v>
      </c>
      <c r="M3" s="78" t="s">
        <v>907</v>
      </c>
      <c r="N3" s="78" t="s">
        <v>908</v>
      </c>
      <c r="O3" s="78" t="s">
        <v>909</v>
      </c>
      <c r="P3" s="78" t="s">
        <v>910</v>
      </c>
      <c r="Q3" s="78" t="s">
        <v>911</v>
      </c>
      <c r="R3" s="78" t="s">
        <v>912</v>
      </c>
      <c r="S3" s="78" t="s">
        <v>913</v>
      </c>
      <c r="T3" s="78" t="s">
        <v>914</v>
      </c>
      <c r="U3" s="78" t="s">
        <v>915</v>
      </c>
      <c r="V3" s="78" t="s">
        <v>916</v>
      </c>
      <c r="W3" s="78" t="s">
        <v>917</v>
      </c>
      <c r="X3" s="78" t="s">
        <v>918</v>
      </c>
      <c r="Y3" s="78" t="s">
        <v>919</v>
      </c>
      <c r="Z3" s="78" t="s">
        <v>920</v>
      </c>
      <c r="AA3" s="78" t="s">
        <v>921</v>
      </c>
      <c r="AB3" s="78" t="s">
        <v>922</v>
      </c>
      <c r="AC3" s="78" t="s">
        <v>923</v>
      </c>
      <c r="AD3" s="78" t="s">
        <v>924</v>
      </c>
      <c r="AE3" s="78" t="s">
        <v>925</v>
      </c>
      <c r="AF3" s="78" t="s">
        <v>926</v>
      </c>
      <c r="AG3" s="78" t="s">
        <v>927</v>
      </c>
      <c r="AH3" s="78" t="s">
        <v>928</v>
      </c>
      <c r="AI3" s="78" t="s">
        <v>929</v>
      </c>
      <c r="AJ3" s="78" t="s">
        <v>930</v>
      </c>
      <c r="AK3" s="78" t="s">
        <v>931</v>
      </c>
      <c r="AL3" s="78" t="s">
        <v>932</v>
      </c>
      <c r="AM3" s="78" t="s">
        <v>933</v>
      </c>
      <c r="AN3" s="78" t="s">
        <v>934</v>
      </c>
      <c r="AO3" s="78" t="s">
        <v>935</v>
      </c>
      <c r="AP3" s="78" t="s">
        <v>936</v>
      </c>
      <c r="AQ3" s="78" t="s">
        <v>937</v>
      </c>
      <c r="AR3" s="78" t="s">
        <v>938</v>
      </c>
      <c r="AS3" s="78" t="s">
        <v>939</v>
      </c>
      <c r="AT3" s="79" t="s">
        <v>940</v>
      </c>
    </row>
    <row r="4" spans="2:46" ht="12" customHeight="1" x14ac:dyDescent="0.25">
      <c r="B4" s="80" t="s">
        <v>58</v>
      </c>
      <c r="C4" s="81" t="s">
        <v>63</v>
      </c>
      <c r="D4" s="81" t="s">
        <v>25</v>
      </c>
      <c r="E4" s="81" t="s">
        <v>25</v>
      </c>
      <c r="F4" s="81" t="s">
        <v>68</v>
      </c>
      <c r="G4" s="81" t="s">
        <v>412</v>
      </c>
      <c r="H4" s="81" t="s">
        <v>60</v>
      </c>
      <c r="I4" s="81" t="s">
        <v>25</v>
      </c>
      <c r="J4" s="81">
        <v>9.27</v>
      </c>
      <c r="K4" s="81">
        <v>0</v>
      </c>
      <c r="L4" s="81">
        <v>0</v>
      </c>
      <c r="M4" s="81">
        <v>4.45135621276268</v>
      </c>
      <c r="N4" s="81">
        <v>0</v>
      </c>
      <c r="O4" s="81">
        <v>0</v>
      </c>
      <c r="P4" s="81">
        <v>0</v>
      </c>
      <c r="Q4" s="81">
        <v>0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81">
        <v>4.8232843462582196</v>
      </c>
      <c r="AF4" s="81">
        <v>0</v>
      </c>
      <c r="AG4" s="81">
        <v>0</v>
      </c>
      <c r="AH4" s="81">
        <v>0</v>
      </c>
      <c r="AI4" s="81">
        <v>0</v>
      </c>
      <c r="AJ4" s="81">
        <v>0</v>
      </c>
      <c r="AK4" s="81">
        <v>0</v>
      </c>
      <c r="AL4" s="81">
        <v>0</v>
      </c>
      <c r="AM4" s="81">
        <v>0</v>
      </c>
      <c r="AN4" s="81">
        <v>0</v>
      </c>
      <c r="AO4" s="81">
        <v>0</v>
      </c>
      <c r="AP4" s="81">
        <v>0</v>
      </c>
      <c r="AQ4" s="81">
        <v>0</v>
      </c>
      <c r="AR4" s="81">
        <v>0</v>
      </c>
      <c r="AS4" s="81">
        <v>0</v>
      </c>
      <c r="AT4" s="82">
        <v>0</v>
      </c>
    </row>
    <row r="5" spans="2:46" ht="12" customHeight="1" x14ac:dyDescent="0.25">
      <c r="B5" s="80" t="s">
        <v>58</v>
      </c>
      <c r="C5" s="81" t="s">
        <v>63</v>
      </c>
      <c r="D5" s="81" t="s">
        <v>25</v>
      </c>
      <c r="E5" s="81" t="s">
        <v>25</v>
      </c>
      <c r="F5" s="81" t="s">
        <v>68</v>
      </c>
      <c r="G5" s="81" t="s">
        <v>412</v>
      </c>
      <c r="H5" s="81" t="s">
        <v>64</v>
      </c>
      <c r="I5" s="81" t="s">
        <v>25</v>
      </c>
      <c r="J5" s="81">
        <v>91.48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1">
        <v>0</v>
      </c>
      <c r="X5" s="81">
        <v>48.093976275137102</v>
      </c>
      <c r="Y5" s="81">
        <v>0</v>
      </c>
      <c r="Z5" s="81">
        <v>0</v>
      </c>
      <c r="AA5" s="81">
        <v>43.387702830038798</v>
      </c>
      <c r="AB5" s="81">
        <v>0</v>
      </c>
      <c r="AC5" s="81">
        <v>0</v>
      </c>
      <c r="AD5" s="81">
        <v>0</v>
      </c>
      <c r="AE5" s="81">
        <v>0</v>
      </c>
      <c r="AF5" s="81">
        <v>0</v>
      </c>
      <c r="AG5" s="81">
        <v>0</v>
      </c>
      <c r="AH5" s="81">
        <v>0</v>
      </c>
      <c r="AI5" s="81">
        <v>0</v>
      </c>
      <c r="AJ5" s="81">
        <v>0</v>
      </c>
      <c r="AK5" s="81">
        <v>0</v>
      </c>
      <c r="AL5" s="81">
        <v>0</v>
      </c>
      <c r="AM5" s="81">
        <v>0</v>
      </c>
      <c r="AN5" s="81">
        <v>0</v>
      </c>
      <c r="AO5" s="81">
        <v>0</v>
      </c>
      <c r="AP5" s="81">
        <v>0</v>
      </c>
      <c r="AQ5" s="81">
        <v>0</v>
      </c>
      <c r="AR5" s="81">
        <v>0</v>
      </c>
      <c r="AS5" s="81">
        <v>0</v>
      </c>
      <c r="AT5" s="82">
        <v>0</v>
      </c>
    </row>
    <row r="6" spans="2:46" ht="12" customHeight="1" x14ac:dyDescent="0.25">
      <c r="B6" s="80" t="s">
        <v>58</v>
      </c>
      <c r="C6" s="81" t="s">
        <v>63</v>
      </c>
      <c r="D6" s="81" t="s">
        <v>25</v>
      </c>
      <c r="E6" s="81" t="s">
        <v>25</v>
      </c>
      <c r="F6" s="81" t="s">
        <v>68</v>
      </c>
      <c r="G6" s="81" t="s">
        <v>414</v>
      </c>
      <c r="H6" s="81" t="s">
        <v>60</v>
      </c>
      <c r="I6" s="81" t="s">
        <v>25</v>
      </c>
      <c r="J6" s="81">
        <v>9.27</v>
      </c>
      <c r="K6" s="81">
        <v>0</v>
      </c>
      <c r="L6" s="81">
        <v>0</v>
      </c>
      <c r="M6" s="81">
        <v>4.45135621276268</v>
      </c>
      <c r="N6" s="81">
        <v>0</v>
      </c>
      <c r="O6" s="81">
        <v>0</v>
      </c>
      <c r="P6" s="81">
        <v>0</v>
      </c>
      <c r="Q6" s="81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  <c r="AB6" s="81">
        <v>0</v>
      </c>
      <c r="AC6" s="81">
        <v>0</v>
      </c>
      <c r="AD6" s="81">
        <v>0</v>
      </c>
      <c r="AE6" s="81">
        <v>4.8232843462582196</v>
      </c>
      <c r="AF6" s="81">
        <v>0</v>
      </c>
      <c r="AG6" s="81">
        <v>0</v>
      </c>
      <c r="AH6" s="81">
        <v>0</v>
      </c>
      <c r="AI6" s="81">
        <v>0</v>
      </c>
      <c r="AJ6" s="81">
        <v>0</v>
      </c>
      <c r="AK6" s="81">
        <v>0</v>
      </c>
      <c r="AL6" s="81">
        <v>0</v>
      </c>
      <c r="AM6" s="81">
        <v>0</v>
      </c>
      <c r="AN6" s="81">
        <v>0</v>
      </c>
      <c r="AO6" s="81">
        <v>0</v>
      </c>
      <c r="AP6" s="81">
        <v>0</v>
      </c>
      <c r="AQ6" s="81">
        <v>0</v>
      </c>
      <c r="AR6" s="81">
        <v>0</v>
      </c>
      <c r="AS6" s="81">
        <v>0</v>
      </c>
      <c r="AT6" s="82">
        <v>0</v>
      </c>
    </row>
    <row r="7" spans="2:46" ht="12" customHeight="1" x14ac:dyDescent="0.25">
      <c r="B7" s="80" t="s">
        <v>58</v>
      </c>
      <c r="C7" s="81" t="s">
        <v>63</v>
      </c>
      <c r="D7" s="81" t="s">
        <v>25</v>
      </c>
      <c r="E7" s="81" t="s">
        <v>25</v>
      </c>
      <c r="F7" s="81" t="s">
        <v>68</v>
      </c>
      <c r="G7" s="81" t="s">
        <v>414</v>
      </c>
      <c r="H7" s="81" t="s">
        <v>64</v>
      </c>
      <c r="I7" s="81" t="s">
        <v>25</v>
      </c>
      <c r="J7" s="81">
        <v>31.56</v>
      </c>
      <c r="K7" s="81">
        <v>0</v>
      </c>
      <c r="L7" s="81">
        <v>0</v>
      </c>
      <c r="M7" s="81">
        <v>0</v>
      </c>
      <c r="N7" s="81">
        <v>0</v>
      </c>
      <c r="O7" s="81">
        <v>0</v>
      </c>
      <c r="P7" s="81">
        <v>0</v>
      </c>
      <c r="Q7" s="81">
        <v>0</v>
      </c>
      <c r="R7" s="81">
        <v>0</v>
      </c>
      <c r="S7" s="81">
        <v>0</v>
      </c>
      <c r="T7" s="81">
        <v>0</v>
      </c>
      <c r="U7" s="81">
        <v>0</v>
      </c>
      <c r="V7" s="81">
        <v>0</v>
      </c>
      <c r="W7" s="81">
        <v>0</v>
      </c>
      <c r="X7" s="81">
        <v>19.438998422803699</v>
      </c>
      <c r="Y7" s="81">
        <v>0</v>
      </c>
      <c r="Z7" s="81">
        <v>0</v>
      </c>
      <c r="AA7" s="81">
        <v>12.123975664115999</v>
      </c>
      <c r="AB7" s="81">
        <v>0</v>
      </c>
      <c r="AC7" s="81">
        <v>0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1">
        <v>0</v>
      </c>
      <c r="AJ7" s="81">
        <v>0</v>
      </c>
      <c r="AK7" s="81">
        <v>0</v>
      </c>
      <c r="AL7" s="81">
        <v>0</v>
      </c>
      <c r="AM7" s="81">
        <v>0</v>
      </c>
      <c r="AN7" s="81">
        <v>0</v>
      </c>
      <c r="AO7" s="81">
        <v>0</v>
      </c>
      <c r="AP7" s="81">
        <v>0</v>
      </c>
      <c r="AQ7" s="81">
        <v>0</v>
      </c>
      <c r="AR7" s="81">
        <v>0</v>
      </c>
      <c r="AS7" s="81">
        <v>0</v>
      </c>
      <c r="AT7" s="82">
        <v>0</v>
      </c>
    </row>
    <row r="8" spans="2:46" ht="12" customHeight="1" x14ac:dyDescent="0.25">
      <c r="B8" s="80" t="s">
        <v>58</v>
      </c>
      <c r="C8" s="81" t="s">
        <v>63</v>
      </c>
      <c r="D8" s="81" t="s">
        <v>25</v>
      </c>
      <c r="E8" s="81" t="s">
        <v>25</v>
      </c>
      <c r="F8" s="81" t="s">
        <v>25</v>
      </c>
      <c r="G8" s="81" t="s">
        <v>412</v>
      </c>
      <c r="H8" s="81" t="s">
        <v>60</v>
      </c>
      <c r="I8" s="81" t="s">
        <v>25</v>
      </c>
      <c r="J8" s="81">
        <v>124.05</v>
      </c>
      <c r="K8" s="81">
        <v>192.1</v>
      </c>
      <c r="L8" s="81">
        <v>26.057050327736899</v>
      </c>
      <c r="M8" s="81">
        <v>4.45135621276268</v>
      </c>
      <c r="N8" s="81">
        <v>0</v>
      </c>
      <c r="O8" s="81">
        <v>0</v>
      </c>
      <c r="P8" s="81">
        <v>0</v>
      </c>
      <c r="Q8" s="81">
        <v>74.659680035028401</v>
      </c>
      <c r="R8" s="81">
        <v>14.060328828195001</v>
      </c>
      <c r="S8" s="81">
        <v>0</v>
      </c>
      <c r="T8" s="81">
        <v>0</v>
      </c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4.8232843462582196</v>
      </c>
      <c r="AF8" s="81">
        <v>0</v>
      </c>
      <c r="AG8" s="81">
        <v>0</v>
      </c>
      <c r="AH8" s="81">
        <v>0</v>
      </c>
      <c r="AI8" s="81">
        <v>0</v>
      </c>
      <c r="AJ8" s="81">
        <v>0</v>
      </c>
      <c r="AK8" s="81">
        <v>0</v>
      </c>
      <c r="AL8" s="81">
        <v>0</v>
      </c>
      <c r="AM8" s="81">
        <v>0</v>
      </c>
      <c r="AN8" s="81">
        <v>192.10069561515601</v>
      </c>
      <c r="AO8" s="81">
        <v>0</v>
      </c>
      <c r="AP8" s="81">
        <v>0</v>
      </c>
      <c r="AQ8" s="81">
        <v>0</v>
      </c>
      <c r="AR8" s="81">
        <v>0</v>
      </c>
      <c r="AS8" s="81">
        <v>0</v>
      </c>
      <c r="AT8" s="82">
        <v>0</v>
      </c>
    </row>
    <row r="9" spans="2:46" ht="12" customHeight="1" x14ac:dyDescent="0.25">
      <c r="B9" s="80" t="s">
        <v>58</v>
      </c>
      <c r="C9" s="81" t="s">
        <v>63</v>
      </c>
      <c r="D9" s="81" t="s">
        <v>25</v>
      </c>
      <c r="E9" s="81" t="s">
        <v>25</v>
      </c>
      <c r="F9" s="81" t="s">
        <v>25</v>
      </c>
      <c r="G9" s="81" t="s">
        <v>412</v>
      </c>
      <c r="H9" s="81" t="s">
        <v>64</v>
      </c>
      <c r="I9" s="81" t="s">
        <v>25</v>
      </c>
      <c r="J9" s="81">
        <v>91.48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1">
        <v>48.093976275137102</v>
      </c>
      <c r="Y9" s="81">
        <v>0</v>
      </c>
      <c r="Z9" s="81">
        <v>0</v>
      </c>
      <c r="AA9" s="81">
        <v>43.387702830038798</v>
      </c>
      <c r="AB9" s="81">
        <v>0</v>
      </c>
      <c r="AC9" s="81">
        <v>0</v>
      </c>
      <c r="AD9" s="81">
        <v>0</v>
      </c>
      <c r="AE9" s="81">
        <v>0</v>
      </c>
      <c r="AF9" s="81">
        <v>0</v>
      </c>
      <c r="AG9" s="81">
        <v>0</v>
      </c>
      <c r="AH9" s="81">
        <v>0</v>
      </c>
      <c r="AI9" s="81">
        <v>0</v>
      </c>
      <c r="AJ9" s="81">
        <v>0</v>
      </c>
      <c r="AK9" s="81">
        <v>0</v>
      </c>
      <c r="AL9" s="81">
        <v>0</v>
      </c>
      <c r="AM9" s="81">
        <v>0</v>
      </c>
      <c r="AN9" s="81">
        <v>0</v>
      </c>
      <c r="AO9" s="81">
        <v>0</v>
      </c>
      <c r="AP9" s="81">
        <v>0</v>
      </c>
      <c r="AQ9" s="81">
        <v>0</v>
      </c>
      <c r="AR9" s="81">
        <v>0</v>
      </c>
      <c r="AS9" s="81">
        <v>0</v>
      </c>
      <c r="AT9" s="82">
        <v>0</v>
      </c>
    </row>
    <row r="10" spans="2:46" ht="12" customHeight="1" x14ac:dyDescent="0.25">
      <c r="B10" s="80" t="s">
        <v>58</v>
      </c>
      <c r="C10" s="81" t="s">
        <v>63</v>
      </c>
      <c r="D10" s="81" t="s">
        <v>25</v>
      </c>
      <c r="E10" s="81" t="s">
        <v>25</v>
      </c>
      <c r="F10" s="81" t="s">
        <v>25</v>
      </c>
      <c r="G10" s="81" t="s">
        <v>414</v>
      </c>
      <c r="H10" s="81" t="s">
        <v>60</v>
      </c>
      <c r="I10" s="81" t="s">
        <v>25</v>
      </c>
      <c r="J10" s="81">
        <v>124.05</v>
      </c>
      <c r="K10" s="81">
        <v>192.1</v>
      </c>
      <c r="L10" s="81">
        <v>26.057050327736899</v>
      </c>
      <c r="M10" s="81">
        <v>4.45135621276268</v>
      </c>
      <c r="N10" s="81">
        <v>0</v>
      </c>
      <c r="O10" s="81">
        <v>0</v>
      </c>
      <c r="P10" s="81">
        <v>0</v>
      </c>
      <c r="Q10" s="81">
        <v>74.659680035028401</v>
      </c>
      <c r="R10" s="81">
        <v>14.060328828195001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  <c r="AB10" s="81">
        <v>0</v>
      </c>
      <c r="AC10" s="81">
        <v>0</v>
      </c>
      <c r="AD10" s="81">
        <v>0</v>
      </c>
      <c r="AE10" s="81">
        <v>4.8232843462582196</v>
      </c>
      <c r="AF10" s="81">
        <v>0</v>
      </c>
      <c r="AG10" s="81">
        <v>0</v>
      </c>
      <c r="AH10" s="81">
        <v>0</v>
      </c>
      <c r="AI10" s="81">
        <v>0</v>
      </c>
      <c r="AJ10" s="81">
        <v>0</v>
      </c>
      <c r="AK10" s="81">
        <v>0</v>
      </c>
      <c r="AL10" s="81">
        <v>0</v>
      </c>
      <c r="AM10" s="81">
        <v>0</v>
      </c>
      <c r="AN10" s="81">
        <v>192.10069561515601</v>
      </c>
      <c r="AO10" s="81">
        <v>0</v>
      </c>
      <c r="AP10" s="81">
        <v>0</v>
      </c>
      <c r="AQ10" s="81">
        <v>0</v>
      </c>
      <c r="AR10" s="81">
        <v>0</v>
      </c>
      <c r="AS10" s="81">
        <v>0</v>
      </c>
      <c r="AT10" s="82">
        <v>0</v>
      </c>
    </row>
    <row r="11" spans="2:46" ht="12" customHeight="1" x14ac:dyDescent="0.25">
      <c r="B11" s="80" t="s">
        <v>58</v>
      </c>
      <c r="C11" s="81" t="s">
        <v>63</v>
      </c>
      <c r="D11" s="81" t="s">
        <v>25</v>
      </c>
      <c r="E11" s="81" t="s">
        <v>25</v>
      </c>
      <c r="F11" s="81" t="s">
        <v>25</v>
      </c>
      <c r="G11" s="81" t="s">
        <v>414</v>
      </c>
      <c r="H11" s="81" t="s">
        <v>64</v>
      </c>
      <c r="I11" s="81" t="s">
        <v>25</v>
      </c>
      <c r="J11" s="81">
        <v>31.56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0</v>
      </c>
      <c r="Q11" s="81">
        <v>0</v>
      </c>
      <c r="R11" s="81">
        <v>0</v>
      </c>
      <c r="S11" s="81">
        <v>0</v>
      </c>
      <c r="T11" s="81">
        <v>0</v>
      </c>
      <c r="U11" s="81">
        <v>0</v>
      </c>
      <c r="V11" s="81">
        <v>0</v>
      </c>
      <c r="W11" s="81">
        <v>0</v>
      </c>
      <c r="X11" s="81">
        <v>19.438998422803699</v>
      </c>
      <c r="Y11" s="81">
        <v>0</v>
      </c>
      <c r="Z11" s="81">
        <v>0</v>
      </c>
      <c r="AA11" s="81">
        <v>12.123975664115999</v>
      </c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>
        <v>0</v>
      </c>
      <c r="AI11" s="81">
        <v>0</v>
      </c>
      <c r="AJ11" s="81">
        <v>0</v>
      </c>
      <c r="AK11" s="81">
        <v>0</v>
      </c>
      <c r="AL11" s="81">
        <v>0</v>
      </c>
      <c r="AM11" s="81">
        <v>0</v>
      </c>
      <c r="AN11" s="81">
        <v>0</v>
      </c>
      <c r="AO11" s="81">
        <v>0</v>
      </c>
      <c r="AP11" s="81">
        <v>0</v>
      </c>
      <c r="AQ11" s="81">
        <v>0</v>
      </c>
      <c r="AR11" s="81">
        <v>0</v>
      </c>
      <c r="AS11" s="81">
        <v>0</v>
      </c>
      <c r="AT11" s="82">
        <v>0</v>
      </c>
    </row>
    <row r="12" spans="2:46" ht="12" customHeight="1" x14ac:dyDescent="0.25">
      <c r="B12" s="80" t="s">
        <v>58</v>
      </c>
      <c r="C12" s="81" t="s">
        <v>69</v>
      </c>
      <c r="D12" s="81" t="s">
        <v>25</v>
      </c>
      <c r="E12" s="81" t="s">
        <v>25</v>
      </c>
      <c r="F12" s="81" t="s">
        <v>25</v>
      </c>
      <c r="G12" s="81" t="s">
        <v>25</v>
      </c>
      <c r="H12" s="81" t="s">
        <v>64</v>
      </c>
      <c r="I12" s="81" t="s">
        <v>25</v>
      </c>
      <c r="J12" s="81">
        <v>5.5</v>
      </c>
      <c r="K12" s="81">
        <v>0</v>
      </c>
      <c r="L12" s="81">
        <v>0</v>
      </c>
      <c r="M12" s="81">
        <v>1.00981362106593E-2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81">
        <v>0</v>
      </c>
      <c r="AA12" s="81">
        <v>5.4849298677658096</v>
      </c>
      <c r="AB12" s="81">
        <v>0</v>
      </c>
      <c r="AC12" s="81">
        <v>0</v>
      </c>
      <c r="AD12" s="81">
        <v>0</v>
      </c>
      <c r="AE12" s="81">
        <v>0</v>
      </c>
      <c r="AF12" s="81">
        <v>0</v>
      </c>
      <c r="AG12" s="81">
        <v>0</v>
      </c>
      <c r="AH12" s="81">
        <v>0</v>
      </c>
      <c r="AI12" s="81">
        <v>0</v>
      </c>
      <c r="AJ12" s="81">
        <v>0</v>
      </c>
      <c r="AK12" s="81">
        <v>0</v>
      </c>
      <c r="AL12" s="81">
        <v>0</v>
      </c>
      <c r="AM12" s="81">
        <v>0</v>
      </c>
      <c r="AN12" s="81">
        <v>0</v>
      </c>
      <c r="AO12" s="81">
        <v>0</v>
      </c>
      <c r="AP12" s="81">
        <v>0</v>
      </c>
      <c r="AQ12" s="81">
        <v>0</v>
      </c>
      <c r="AR12" s="81">
        <v>0</v>
      </c>
      <c r="AS12" s="81">
        <v>0</v>
      </c>
      <c r="AT12" s="82">
        <v>0</v>
      </c>
    </row>
    <row r="13" spans="2:46" ht="12" customHeight="1" x14ac:dyDescent="0.25">
      <c r="B13" s="80" t="s">
        <v>58</v>
      </c>
      <c r="C13" s="81" t="s">
        <v>70</v>
      </c>
      <c r="D13" s="81" t="s">
        <v>25</v>
      </c>
      <c r="E13" s="81" t="s">
        <v>25</v>
      </c>
      <c r="F13" s="81" t="s">
        <v>68</v>
      </c>
      <c r="G13" s="81" t="s">
        <v>412</v>
      </c>
      <c r="H13" s="81" t="s">
        <v>60</v>
      </c>
      <c r="I13" s="81" t="s">
        <v>25</v>
      </c>
      <c r="J13" s="81">
        <v>2209.87</v>
      </c>
      <c r="K13" s="81">
        <v>0</v>
      </c>
      <c r="L13" s="81">
        <v>0</v>
      </c>
      <c r="M13" s="81">
        <v>4.45135621276268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1157.1220953736999</v>
      </c>
      <c r="Y13" s="81">
        <v>0</v>
      </c>
      <c r="Z13" s="81">
        <v>0</v>
      </c>
      <c r="AA13" s="81">
        <v>1043.47501949922</v>
      </c>
      <c r="AB13" s="81">
        <v>0</v>
      </c>
      <c r="AC13" s="81">
        <v>0</v>
      </c>
      <c r="AD13" s="81">
        <v>0</v>
      </c>
      <c r="AE13" s="81">
        <v>4.8232843462582196</v>
      </c>
      <c r="AF13" s="81">
        <v>0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1">
        <v>0</v>
      </c>
      <c r="AM13" s="81">
        <v>0</v>
      </c>
      <c r="AN13" s="81">
        <v>0</v>
      </c>
      <c r="AO13" s="81">
        <v>0</v>
      </c>
      <c r="AP13" s="81">
        <v>0</v>
      </c>
      <c r="AQ13" s="81">
        <v>0</v>
      </c>
      <c r="AR13" s="81">
        <v>0</v>
      </c>
      <c r="AS13" s="81">
        <v>0</v>
      </c>
      <c r="AT13" s="82">
        <v>0</v>
      </c>
    </row>
    <row r="14" spans="2:46" ht="12" customHeight="1" x14ac:dyDescent="0.25">
      <c r="B14" s="80" t="s">
        <v>58</v>
      </c>
      <c r="C14" s="81" t="s">
        <v>70</v>
      </c>
      <c r="D14" s="81" t="s">
        <v>25</v>
      </c>
      <c r="E14" s="81" t="s">
        <v>25</v>
      </c>
      <c r="F14" s="81" t="s">
        <v>68</v>
      </c>
      <c r="G14" s="81" t="s">
        <v>25</v>
      </c>
      <c r="H14" s="81" t="s">
        <v>64</v>
      </c>
      <c r="I14" s="81" t="s">
        <v>25</v>
      </c>
      <c r="J14" s="81">
        <v>31.56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19.438998422803699</v>
      </c>
      <c r="Y14" s="81">
        <v>0</v>
      </c>
      <c r="Z14" s="81">
        <v>0</v>
      </c>
      <c r="AA14" s="81">
        <v>12.123975664115999</v>
      </c>
      <c r="AB14" s="81">
        <v>0</v>
      </c>
      <c r="AC14" s="81">
        <v>0</v>
      </c>
      <c r="AD14" s="81">
        <v>0</v>
      </c>
      <c r="AE14" s="81">
        <v>0</v>
      </c>
      <c r="AF14" s="81">
        <v>0</v>
      </c>
      <c r="AG14" s="81">
        <v>0</v>
      </c>
      <c r="AH14" s="81">
        <v>0</v>
      </c>
      <c r="AI14" s="81">
        <v>0</v>
      </c>
      <c r="AJ14" s="81">
        <v>0</v>
      </c>
      <c r="AK14" s="81">
        <v>0</v>
      </c>
      <c r="AL14" s="81">
        <v>0</v>
      </c>
      <c r="AM14" s="81">
        <v>0</v>
      </c>
      <c r="AN14" s="81">
        <v>0</v>
      </c>
      <c r="AO14" s="81">
        <v>0</v>
      </c>
      <c r="AP14" s="81">
        <v>0</v>
      </c>
      <c r="AQ14" s="81">
        <v>0</v>
      </c>
      <c r="AR14" s="81">
        <v>0</v>
      </c>
      <c r="AS14" s="81">
        <v>0</v>
      </c>
      <c r="AT14" s="82">
        <v>0</v>
      </c>
    </row>
    <row r="15" spans="2:46" ht="12" customHeight="1" x14ac:dyDescent="0.25">
      <c r="B15" s="80" t="s">
        <v>58</v>
      </c>
      <c r="C15" s="81" t="s">
        <v>70</v>
      </c>
      <c r="D15" s="81" t="s">
        <v>25</v>
      </c>
      <c r="E15" s="81" t="s">
        <v>25</v>
      </c>
      <c r="F15" s="81" t="s">
        <v>68</v>
      </c>
      <c r="G15" s="81" t="s">
        <v>414</v>
      </c>
      <c r="H15" s="81" t="s">
        <v>60</v>
      </c>
      <c r="I15" s="81" t="s">
        <v>25</v>
      </c>
      <c r="J15" s="81">
        <v>9.27</v>
      </c>
      <c r="K15" s="81">
        <v>0</v>
      </c>
      <c r="L15" s="81">
        <v>0</v>
      </c>
      <c r="M15" s="81">
        <v>4.45135621276268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4.8232843462582196</v>
      </c>
      <c r="AF15" s="81">
        <v>0</v>
      </c>
      <c r="AG15" s="81">
        <v>0</v>
      </c>
      <c r="AH15" s="81">
        <v>0</v>
      </c>
      <c r="AI15" s="81">
        <v>0</v>
      </c>
      <c r="AJ15" s="81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  <c r="AR15" s="81">
        <v>0</v>
      </c>
      <c r="AS15" s="81">
        <v>0</v>
      </c>
      <c r="AT15" s="82">
        <v>0</v>
      </c>
    </row>
    <row r="16" spans="2:46" ht="12" customHeight="1" x14ac:dyDescent="0.25">
      <c r="B16" s="80" t="s">
        <v>58</v>
      </c>
      <c r="C16" s="81" t="s">
        <v>70</v>
      </c>
      <c r="D16" s="81" t="s">
        <v>25</v>
      </c>
      <c r="E16" s="81" t="s">
        <v>25</v>
      </c>
      <c r="F16" s="81" t="s">
        <v>25</v>
      </c>
      <c r="G16" s="81" t="s">
        <v>412</v>
      </c>
      <c r="H16" s="81" t="s">
        <v>60</v>
      </c>
      <c r="I16" s="81" t="s">
        <v>25</v>
      </c>
      <c r="J16" s="81">
        <v>2324.65</v>
      </c>
      <c r="K16" s="81">
        <v>192.1</v>
      </c>
      <c r="L16" s="81">
        <v>26.057050327736899</v>
      </c>
      <c r="M16" s="81">
        <v>4.45135621276268</v>
      </c>
      <c r="N16" s="81">
        <v>0</v>
      </c>
      <c r="O16" s="81">
        <v>0</v>
      </c>
      <c r="P16" s="81">
        <v>0</v>
      </c>
      <c r="Q16" s="81">
        <v>74.659680035028401</v>
      </c>
      <c r="R16" s="81">
        <v>14.060328828195001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  <c r="X16" s="81">
        <v>1157.1220953736999</v>
      </c>
      <c r="Y16" s="81">
        <v>0</v>
      </c>
      <c r="Z16" s="81">
        <v>0</v>
      </c>
      <c r="AA16" s="81">
        <v>1043.47501949922</v>
      </c>
      <c r="AB16" s="81">
        <v>0</v>
      </c>
      <c r="AC16" s="81">
        <v>0</v>
      </c>
      <c r="AD16" s="81">
        <v>0</v>
      </c>
      <c r="AE16" s="81">
        <v>4.8232843462582196</v>
      </c>
      <c r="AF16" s="81">
        <v>0</v>
      </c>
      <c r="AG16" s="81">
        <v>0</v>
      </c>
      <c r="AH16" s="81">
        <v>0</v>
      </c>
      <c r="AI16" s="81">
        <v>0</v>
      </c>
      <c r="AJ16" s="81">
        <v>0</v>
      </c>
      <c r="AK16" s="81">
        <v>0</v>
      </c>
      <c r="AL16" s="81">
        <v>0</v>
      </c>
      <c r="AM16" s="81">
        <v>0</v>
      </c>
      <c r="AN16" s="81">
        <v>192.10069561515601</v>
      </c>
      <c r="AO16" s="81">
        <v>0</v>
      </c>
      <c r="AP16" s="81">
        <v>0</v>
      </c>
      <c r="AQ16" s="81">
        <v>0</v>
      </c>
      <c r="AR16" s="81">
        <v>0</v>
      </c>
      <c r="AS16" s="81">
        <v>0</v>
      </c>
      <c r="AT16" s="82">
        <v>0</v>
      </c>
    </row>
    <row r="17" spans="2:46" ht="12" customHeight="1" x14ac:dyDescent="0.25">
      <c r="B17" s="80" t="s">
        <v>58</v>
      </c>
      <c r="C17" s="81" t="s">
        <v>70</v>
      </c>
      <c r="D17" s="81" t="s">
        <v>25</v>
      </c>
      <c r="E17" s="81" t="s">
        <v>25</v>
      </c>
      <c r="F17" s="81" t="s">
        <v>25</v>
      </c>
      <c r="G17" s="81" t="s">
        <v>25</v>
      </c>
      <c r="H17" s="81" t="s">
        <v>64</v>
      </c>
      <c r="I17" s="81" t="s">
        <v>25</v>
      </c>
      <c r="J17" s="81">
        <v>31.56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  <c r="X17" s="81">
        <v>19.438998422803699</v>
      </c>
      <c r="Y17" s="81">
        <v>0</v>
      </c>
      <c r="Z17" s="81">
        <v>0</v>
      </c>
      <c r="AA17" s="81">
        <v>12.123975664115999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81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  <c r="AR17" s="81">
        <v>0</v>
      </c>
      <c r="AS17" s="81">
        <v>0</v>
      </c>
      <c r="AT17" s="82">
        <v>0</v>
      </c>
    </row>
    <row r="18" spans="2:46" ht="12" customHeight="1" x14ac:dyDescent="0.25">
      <c r="B18" s="80" t="s">
        <v>58</v>
      </c>
      <c r="C18" s="81" t="s">
        <v>70</v>
      </c>
      <c r="D18" s="81" t="s">
        <v>25</v>
      </c>
      <c r="E18" s="81" t="s">
        <v>25</v>
      </c>
      <c r="F18" s="81" t="s">
        <v>25</v>
      </c>
      <c r="G18" s="81" t="s">
        <v>414</v>
      </c>
      <c r="H18" s="81" t="s">
        <v>60</v>
      </c>
      <c r="I18" s="81" t="s">
        <v>25</v>
      </c>
      <c r="J18" s="81">
        <v>124.05</v>
      </c>
      <c r="K18" s="81">
        <v>192.1</v>
      </c>
      <c r="L18" s="81">
        <v>26.057050327736899</v>
      </c>
      <c r="M18" s="81">
        <v>4.45135621276268</v>
      </c>
      <c r="N18" s="81">
        <v>0</v>
      </c>
      <c r="O18" s="81">
        <v>0</v>
      </c>
      <c r="P18" s="81">
        <v>0</v>
      </c>
      <c r="Q18" s="81">
        <v>74.659680035028401</v>
      </c>
      <c r="R18" s="81">
        <v>14.060328828195001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>
        <v>4.8232843462582196</v>
      </c>
      <c r="AF18" s="81">
        <v>0</v>
      </c>
      <c r="AG18" s="81">
        <v>0</v>
      </c>
      <c r="AH18" s="81">
        <v>0</v>
      </c>
      <c r="AI18" s="81">
        <v>0</v>
      </c>
      <c r="AJ18" s="81">
        <v>0</v>
      </c>
      <c r="AK18" s="81">
        <v>0</v>
      </c>
      <c r="AL18" s="81">
        <v>0</v>
      </c>
      <c r="AM18" s="81">
        <v>0</v>
      </c>
      <c r="AN18" s="81">
        <v>192.10069561515601</v>
      </c>
      <c r="AO18" s="81">
        <v>0</v>
      </c>
      <c r="AP18" s="81">
        <v>0</v>
      </c>
      <c r="AQ18" s="81">
        <v>0</v>
      </c>
      <c r="AR18" s="81">
        <v>0</v>
      </c>
      <c r="AS18" s="81">
        <v>0</v>
      </c>
      <c r="AT18" s="82">
        <v>0</v>
      </c>
    </row>
    <row r="19" spans="2:46" ht="12" customHeight="1" x14ac:dyDescent="0.25">
      <c r="B19" s="80" t="s">
        <v>71</v>
      </c>
      <c r="C19" s="81" t="s">
        <v>69</v>
      </c>
      <c r="D19" s="81" t="s">
        <v>25</v>
      </c>
      <c r="E19" s="81" t="s">
        <v>25</v>
      </c>
      <c r="F19" s="81" t="s">
        <v>72</v>
      </c>
      <c r="G19" s="81" t="s">
        <v>25</v>
      </c>
      <c r="H19" s="81" t="s">
        <v>64</v>
      </c>
      <c r="I19" s="81" t="s">
        <v>25</v>
      </c>
      <c r="J19" s="81">
        <v>5.67</v>
      </c>
      <c r="K19" s="81">
        <v>0</v>
      </c>
      <c r="L19" s="81">
        <v>0</v>
      </c>
      <c r="M19" s="81">
        <v>1.03922566828145E-2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81">
        <v>0</v>
      </c>
      <c r="AA19" s="81">
        <v>5.6576417349422297</v>
      </c>
      <c r="AB19" s="81">
        <v>0</v>
      </c>
      <c r="AC19" s="81">
        <v>0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1">
        <v>0</v>
      </c>
      <c r="AJ19" s="81">
        <v>0</v>
      </c>
      <c r="AK19" s="81">
        <v>0</v>
      </c>
      <c r="AL19" s="81">
        <v>0</v>
      </c>
      <c r="AM19" s="81">
        <v>0</v>
      </c>
      <c r="AN19" s="81">
        <v>0</v>
      </c>
      <c r="AO19" s="81">
        <v>0</v>
      </c>
      <c r="AP19" s="81">
        <v>0</v>
      </c>
      <c r="AQ19" s="81">
        <v>0</v>
      </c>
      <c r="AR19" s="81">
        <v>0</v>
      </c>
      <c r="AS19" s="81">
        <v>0</v>
      </c>
      <c r="AT19" s="82">
        <v>0</v>
      </c>
    </row>
    <row r="20" spans="2:46" ht="12" customHeight="1" x14ac:dyDescent="0.25">
      <c r="B20" s="80" t="s">
        <v>71</v>
      </c>
      <c r="C20" s="81" t="s">
        <v>69</v>
      </c>
      <c r="D20" s="81" t="s">
        <v>25</v>
      </c>
      <c r="E20" s="81" t="s">
        <v>25</v>
      </c>
      <c r="F20" s="81" t="s">
        <v>73</v>
      </c>
      <c r="G20" s="81" t="s">
        <v>25</v>
      </c>
      <c r="H20" s="81" t="s">
        <v>64</v>
      </c>
      <c r="I20" s="81" t="s">
        <v>25</v>
      </c>
      <c r="J20" s="81">
        <v>11.52</v>
      </c>
      <c r="K20" s="81">
        <v>0</v>
      </c>
      <c r="L20" s="81">
        <v>0</v>
      </c>
      <c r="M20" s="81">
        <v>1.03922566828145E-2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81">
        <v>0</v>
      </c>
      <c r="AA20" s="81">
        <v>11.5106640230791</v>
      </c>
      <c r="AB20" s="81">
        <v>0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0</v>
      </c>
      <c r="AO20" s="81">
        <v>0</v>
      </c>
      <c r="AP20" s="81">
        <v>0</v>
      </c>
      <c r="AQ20" s="81">
        <v>0</v>
      </c>
      <c r="AR20" s="81">
        <v>0</v>
      </c>
      <c r="AS20" s="81">
        <v>0</v>
      </c>
      <c r="AT20" s="82">
        <v>0</v>
      </c>
    </row>
    <row r="21" spans="2:46" ht="12" customHeight="1" x14ac:dyDescent="0.25">
      <c r="B21" s="80" t="s">
        <v>22</v>
      </c>
      <c r="C21" s="81" t="s">
        <v>76</v>
      </c>
      <c r="D21" s="81" t="s">
        <v>24</v>
      </c>
      <c r="E21" s="81" t="s">
        <v>24</v>
      </c>
      <c r="F21" s="81" t="s">
        <v>25</v>
      </c>
      <c r="G21" s="81" t="s">
        <v>412</v>
      </c>
      <c r="H21" s="81" t="s">
        <v>60</v>
      </c>
      <c r="I21" s="81" t="s">
        <v>25</v>
      </c>
      <c r="J21" s="81">
        <v>1059.8599999999999</v>
      </c>
      <c r="K21" s="81">
        <v>192.1</v>
      </c>
      <c r="L21" s="81">
        <v>31.020298009210599</v>
      </c>
      <c r="M21" s="81">
        <v>2.2383507497439901</v>
      </c>
      <c r="N21" s="81">
        <v>0</v>
      </c>
      <c r="O21" s="81">
        <v>0</v>
      </c>
      <c r="P21" s="81">
        <v>0</v>
      </c>
      <c r="Q21" s="81">
        <v>88.880571470271903</v>
      </c>
      <c r="R21" s="81">
        <v>14.060328828195001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  <c r="X21" s="81">
        <v>423.63015027763902</v>
      </c>
      <c r="Y21" s="81">
        <v>0</v>
      </c>
      <c r="Z21" s="81">
        <v>0</v>
      </c>
      <c r="AA21" s="81">
        <v>487.54195909996298</v>
      </c>
      <c r="AB21" s="81">
        <v>0</v>
      </c>
      <c r="AC21" s="81">
        <v>0</v>
      </c>
      <c r="AD21" s="81">
        <v>0</v>
      </c>
      <c r="AE21" s="81">
        <v>12.492571415712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192.10069561515601</v>
      </c>
      <c r="AO21" s="81">
        <v>0</v>
      </c>
      <c r="AP21" s="81">
        <v>0</v>
      </c>
      <c r="AQ21" s="81">
        <v>0</v>
      </c>
      <c r="AR21" s="81">
        <v>0</v>
      </c>
      <c r="AS21" s="81">
        <v>0</v>
      </c>
      <c r="AT21" s="82">
        <v>0</v>
      </c>
    </row>
    <row r="22" spans="2:46" ht="12" customHeight="1" x14ac:dyDescent="0.25">
      <c r="B22" s="80" t="s">
        <v>22</v>
      </c>
      <c r="C22" s="81" t="s">
        <v>76</v>
      </c>
      <c r="D22" s="81" t="s">
        <v>24</v>
      </c>
      <c r="E22" s="81" t="s">
        <v>24</v>
      </c>
      <c r="F22" s="81" t="s">
        <v>25</v>
      </c>
      <c r="G22" s="81" t="s">
        <v>409</v>
      </c>
      <c r="H22" s="81" t="s">
        <v>60</v>
      </c>
      <c r="I22" s="81" t="s">
        <v>25</v>
      </c>
      <c r="J22" s="81">
        <v>695.4</v>
      </c>
      <c r="K22" s="81">
        <v>192.1</v>
      </c>
      <c r="L22" s="81">
        <v>31.020298009210599</v>
      </c>
      <c r="M22" s="81">
        <v>2.2383507497439901</v>
      </c>
      <c r="N22" s="81">
        <v>0</v>
      </c>
      <c r="O22" s="81">
        <v>0</v>
      </c>
      <c r="P22" s="81">
        <v>0</v>
      </c>
      <c r="Q22" s="81">
        <v>88.880571470271903</v>
      </c>
      <c r="R22" s="81">
        <v>14.060328828195001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  <c r="X22" s="81">
        <v>254.17806728452101</v>
      </c>
      <c r="Y22" s="81">
        <v>0</v>
      </c>
      <c r="Z22" s="81">
        <v>0</v>
      </c>
      <c r="AA22" s="81">
        <v>292.52532144793798</v>
      </c>
      <c r="AB22" s="81">
        <v>0</v>
      </c>
      <c r="AC22" s="81">
        <v>0</v>
      </c>
      <c r="AD22" s="81">
        <v>0</v>
      </c>
      <c r="AE22" s="81">
        <v>12.492571415712</v>
      </c>
      <c r="AF22" s="81">
        <v>0</v>
      </c>
      <c r="AG22" s="81">
        <v>0</v>
      </c>
      <c r="AH22" s="81">
        <v>0</v>
      </c>
      <c r="AI22" s="81">
        <v>0</v>
      </c>
      <c r="AJ22" s="81">
        <v>0</v>
      </c>
      <c r="AK22" s="81">
        <v>0</v>
      </c>
      <c r="AL22" s="81">
        <v>0</v>
      </c>
      <c r="AM22" s="81">
        <v>0</v>
      </c>
      <c r="AN22" s="81">
        <v>192.10069561515601</v>
      </c>
      <c r="AO22" s="81">
        <v>0</v>
      </c>
      <c r="AP22" s="81">
        <v>0</v>
      </c>
      <c r="AQ22" s="81">
        <v>0</v>
      </c>
      <c r="AR22" s="81">
        <v>0</v>
      </c>
      <c r="AS22" s="81">
        <v>0</v>
      </c>
      <c r="AT22" s="82">
        <v>0</v>
      </c>
    </row>
    <row r="23" spans="2:46" ht="12" customHeight="1" x14ac:dyDescent="0.25">
      <c r="B23" s="80" t="s">
        <v>22</v>
      </c>
      <c r="C23" s="81" t="s">
        <v>76</v>
      </c>
      <c r="D23" s="81" t="s">
        <v>24</v>
      </c>
      <c r="E23" s="81" t="s">
        <v>24</v>
      </c>
      <c r="F23" s="81" t="s">
        <v>25</v>
      </c>
      <c r="G23" s="81" t="s">
        <v>414</v>
      </c>
      <c r="H23" s="81" t="s">
        <v>60</v>
      </c>
      <c r="I23" s="81" t="s">
        <v>25</v>
      </c>
      <c r="J23" s="81">
        <v>331</v>
      </c>
      <c r="K23" s="81">
        <v>192.1</v>
      </c>
      <c r="L23" s="81">
        <v>31.020298009210599</v>
      </c>
      <c r="M23" s="81">
        <v>2.2383507497439901</v>
      </c>
      <c r="N23" s="81">
        <v>0</v>
      </c>
      <c r="O23" s="81">
        <v>0</v>
      </c>
      <c r="P23" s="81">
        <v>0</v>
      </c>
      <c r="Q23" s="81">
        <v>88.880571470271903</v>
      </c>
      <c r="R23" s="81">
        <v>14.060328828195001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  <c r="X23" s="81">
        <v>84.803440072436402</v>
      </c>
      <c r="Y23" s="81">
        <v>0</v>
      </c>
      <c r="Z23" s="81">
        <v>0</v>
      </c>
      <c r="AA23" s="81">
        <v>97.508318826012598</v>
      </c>
      <c r="AB23" s="81">
        <v>0</v>
      </c>
      <c r="AC23" s="81">
        <v>0</v>
      </c>
      <c r="AD23" s="81">
        <v>0</v>
      </c>
      <c r="AE23" s="81">
        <v>12.492571415712</v>
      </c>
      <c r="AF23" s="81">
        <v>0</v>
      </c>
      <c r="AG23" s="81">
        <v>0</v>
      </c>
      <c r="AH23" s="81">
        <v>0</v>
      </c>
      <c r="AI23" s="81">
        <v>0</v>
      </c>
      <c r="AJ23" s="81">
        <v>0</v>
      </c>
      <c r="AK23" s="81">
        <v>0</v>
      </c>
      <c r="AL23" s="81">
        <v>0</v>
      </c>
      <c r="AM23" s="81">
        <v>0</v>
      </c>
      <c r="AN23" s="81">
        <v>192.10069561515601</v>
      </c>
      <c r="AO23" s="81">
        <v>0</v>
      </c>
      <c r="AP23" s="81">
        <v>0</v>
      </c>
      <c r="AQ23" s="81">
        <v>0</v>
      </c>
      <c r="AR23" s="81">
        <v>0</v>
      </c>
      <c r="AS23" s="81">
        <v>0</v>
      </c>
      <c r="AT23" s="82">
        <v>0</v>
      </c>
    </row>
    <row r="24" spans="2:46" ht="12" customHeight="1" x14ac:dyDescent="0.25">
      <c r="B24" s="80" t="s">
        <v>22</v>
      </c>
      <c r="C24" s="81" t="s">
        <v>23</v>
      </c>
      <c r="D24" s="81" t="s">
        <v>24</v>
      </c>
      <c r="E24" s="81" t="s">
        <v>941</v>
      </c>
      <c r="F24" s="81" t="s">
        <v>25</v>
      </c>
      <c r="G24" s="81" t="s">
        <v>25</v>
      </c>
      <c r="H24" s="81" t="s">
        <v>60</v>
      </c>
      <c r="I24" s="81" t="s">
        <v>25</v>
      </c>
      <c r="J24" s="81">
        <v>352.13</v>
      </c>
      <c r="K24" s="81">
        <v>192.1</v>
      </c>
      <c r="L24" s="81">
        <v>0</v>
      </c>
      <c r="M24" s="81">
        <v>2.2383507497439901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  <c r="X24" s="81">
        <v>156.82839242905999</v>
      </c>
      <c r="Y24" s="81">
        <v>0</v>
      </c>
      <c r="Z24" s="81">
        <v>0</v>
      </c>
      <c r="AA24" s="81">
        <v>180.571129005492</v>
      </c>
      <c r="AB24" s="81">
        <v>0</v>
      </c>
      <c r="AC24" s="81">
        <v>0</v>
      </c>
      <c r="AD24" s="81">
        <v>0</v>
      </c>
      <c r="AE24" s="81">
        <v>12.492571415712</v>
      </c>
      <c r="AF24" s="81">
        <v>0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  <c r="AN24" s="81">
        <v>192.10069561515601</v>
      </c>
      <c r="AO24" s="81">
        <v>0</v>
      </c>
      <c r="AP24" s="81">
        <v>0</v>
      </c>
      <c r="AQ24" s="81">
        <v>0</v>
      </c>
      <c r="AR24" s="81">
        <v>0</v>
      </c>
      <c r="AS24" s="81">
        <v>0</v>
      </c>
      <c r="AT24" s="82">
        <v>0</v>
      </c>
    </row>
    <row r="25" spans="2:46" ht="12" customHeight="1" x14ac:dyDescent="0.25">
      <c r="B25" s="80" t="s">
        <v>22</v>
      </c>
      <c r="C25" s="81" t="s">
        <v>23</v>
      </c>
      <c r="D25" s="81" t="s">
        <v>24</v>
      </c>
      <c r="E25" s="81" t="s">
        <v>24</v>
      </c>
      <c r="F25" s="81" t="s">
        <v>25</v>
      </c>
      <c r="G25" s="81" t="s">
        <v>25</v>
      </c>
      <c r="H25" s="81" t="s">
        <v>60</v>
      </c>
      <c r="I25" s="81" t="s">
        <v>25</v>
      </c>
      <c r="J25" s="81">
        <v>486.09</v>
      </c>
      <c r="K25" s="81">
        <v>192.1</v>
      </c>
      <c r="L25" s="81">
        <v>31.020298009210599</v>
      </c>
      <c r="M25" s="81">
        <v>2.2383507497439901</v>
      </c>
      <c r="N25" s="81">
        <v>0</v>
      </c>
      <c r="O25" s="81">
        <v>0</v>
      </c>
      <c r="P25" s="81">
        <v>0</v>
      </c>
      <c r="Q25" s="81">
        <v>88.880571470271903</v>
      </c>
      <c r="R25" s="81">
        <v>14.060328828195001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  <c r="X25" s="81">
        <v>156.82839242905999</v>
      </c>
      <c r="Y25" s="81">
        <v>0</v>
      </c>
      <c r="Z25" s="81">
        <v>0</v>
      </c>
      <c r="AA25" s="81">
        <v>180.571129005492</v>
      </c>
      <c r="AB25" s="81">
        <v>0</v>
      </c>
      <c r="AC25" s="81">
        <v>0</v>
      </c>
      <c r="AD25" s="81">
        <v>0</v>
      </c>
      <c r="AE25" s="81">
        <v>12.492571415712</v>
      </c>
      <c r="AF25" s="81">
        <v>0</v>
      </c>
      <c r="AG25" s="81">
        <v>0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  <c r="AN25" s="81">
        <v>192.10069561515601</v>
      </c>
      <c r="AO25" s="81">
        <v>0</v>
      </c>
      <c r="AP25" s="81">
        <v>0</v>
      </c>
      <c r="AQ25" s="81">
        <v>0</v>
      </c>
      <c r="AR25" s="81">
        <v>0</v>
      </c>
      <c r="AS25" s="81">
        <v>0</v>
      </c>
      <c r="AT25" s="82">
        <v>0</v>
      </c>
    </row>
    <row r="26" spans="2:46" ht="12" customHeight="1" x14ac:dyDescent="0.25">
      <c r="B26" s="80" t="s">
        <v>22</v>
      </c>
      <c r="C26" s="81" t="s">
        <v>78</v>
      </c>
      <c r="D26" s="81" t="s">
        <v>24</v>
      </c>
      <c r="E26" s="81" t="s">
        <v>941</v>
      </c>
      <c r="F26" s="81" t="s">
        <v>25</v>
      </c>
      <c r="G26" s="81" t="s">
        <v>25</v>
      </c>
      <c r="H26" s="81" t="s">
        <v>60</v>
      </c>
      <c r="I26" s="81" t="s">
        <v>25</v>
      </c>
      <c r="J26" s="81">
        <v>352.13</v>
      </c>
      <c r="K26" s="81">
        <v>192.1</v>
      </c>
      <c r="L26" s="81">
        <v>0</v>
      </c>
      <c r="M26" s="81">
        <v>2.2383507497439901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  <c r="X26" s="81">
        <v>156.82839242905999</v>
      </c>
      <c r="Y26" s="81">
        <v>0</v>
      </c>
      <c r="Z26" s="81">
        <v>0</v>
      </c>
      <c r="AA26" s="81">
        <v>180.571129005492</v>
      </c>
      <c r="AB26" s="81">
        <v>0</v>
      </c>
      <c r="AC26" s="81">
        <v>0</v>
      </c>
      <c r="AD26" s="81">
        <v>0</v>
      </c>
      <c r="AE26" s="81">
        <v>12.492571415712</v>
      </c>
      <c r="AF26" s="81">
        <v>0</v>
      </c>
      <c r="AG26" s="81">
        <v>0</v>
      </c>
      <c r="AH26" s="81">
        <v>0</v>
      </c>
      <c r="AI26" s="81">
        <v>0</v>
      </c>
      <c r="AJ26" s="81">
        <v>0</v>
      </c>
      <c r="AK26" s="81">
        <v>0</v>
      </c>
      <c r="AL26" s="81">
        <v>0</v>
      </c>
      <c r="AM26" s="81">
        <v>0</v>
      </c>
      <c r="AN26" s="81">
        <v>192.10069561515601</v>
      </c>
      <c r="AO26" s="81">
        <v>0</v>
      </c>
      <c r="AP26" s="81">
        <v>0</v>
      </c>
      <c r="AQ26" s="81">
        <v>0</v>
      </c>
      <c r="AR26" s="81">
        <v>0</v>
      </c>
      <c r="AS26" s="81">
        <v>0</v>
      </c>
      <c r="AT26" s="82">
        <v>0</v>
      </c>
    </row>
    <row r="27" spans="2:46" ht="12" customHeight="1" x14ac:dyDescent="0.25">
      <c r="B27" s="80" t="s">
        <v>22</v>
      </c>
      <c r="C27" s="81" t="s">
        <v>78</v>
      </c>
      <c r="D27" s="81" t="s">
        <v>24</v>
      </c>
      <c r="E27" s="81" t="s">
        <v>24</v>
      </c>
      <c r="F27" s="81" t="s">
        <v>25</v>
      </c>
      <c r="G27" s="81" t="s">
        <v>25</v>
      </c>
      <c r="H27" s="81" t="s">
        <v>60</v>
      </c>
      <c r="I27" s="81" t="s">
        <v>25</v>
      </c>
      <c r="J27" s="81">
        <v>486.09</v>
      </c>
      <c r="K27" s="81">
        <v>192.1</v>
      </c>
      <c r="L27" s="81">
        <v>31.020298009210599</v>
      </c>
      <c r="M27" s="81">
        <v>2.2383507497439901</v>
      </c>
      <c r="N27" s="81">
        <v>0</v>
      </c>
      <c r="O27" s="81">
        <v>0</v>
      </c>
      <c r="P27" s="81">
        <v>0</v>
      </c>
      <c r="Q27" s="81">
        <v>88.880571470271903</v>
      </c>
      <c r="R27" s="81">
        <v>14.060328828195001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  <c r="X27" s="81">
        <v>156.82839242905999</v>
      </c>
      <c r="Y27" s="81">
        <v>0</v>
      </c>
      <c r="Z27" s="81">
        <v>0</v>
      </c>
      <c r="AA27" s="81">
        <v>180.571129005492</v>
      </c>
      <c r="AB27" s="81">
        <v>0</v>
      </c>
      <c r="AC27" s="81">
        <v>0</v>
      </c>
      <c r="AD27" s="81">
        <v>0</v>
      </c>
      <c r="AE27" s="81">
        <v>12.492571415712</v>
      </c>
      <c r="AF27" s="81">
        <v>0</v>
      </c>
      <c r="AG27" s="81">
        <v>0</v>
      </c>
      <c r="AH27" s="81">
        <v>0</v>
      </c>
      <c r="AI27" s="81">
        <v>0</v>
      </c>
      <c r="AJ27" s="81">
        <v>0</v>
      </c>
      <c r="AK27" s="81">
        <v>0</v>
      </c>
      <c r="AL27" s="81">
        <v>0</v>
      </c>
      <c r="AM27" s="81">
        <v>0</v>
      </c>
      <c r="AN27" s="81">
        <v>192.10069561515601</v>
      </c>
      <c r="AO27" s="81">
        <v>0</v>
      </c>
      <c r="AP27" s="81">
        <v>0</v>
      </c>
      <c r="AQ27" s="81">
        <v>0</v>
      </c>
      <c r="AR27" s="81">
        <v>0</v>
      </c>
      <c r="AS27" s="81">
        <v>0</v>
      </c>
      <c r="AT27" s="82">
        <v>0</v>
      </c>
    </row>
    <row r="28" spans="2:46" ht="12" customHeight="1" x14ac:dyDescent="0.25">
      <c r="B28" s="80" t="s">
        <v>31</v>
      </c>
      <c r="C28" s="81" t="s">
        <v>76</v>
      </c>
      <c r="D28" s="81" t="s">
        <v>32</v>
      </c>
      <c r="E28" s="81" t="s">
        <v>79</v>
      </c>
      <c r="F28" s="81" t="s">
        <v>25</v>
      </c>
      <c r="G28" s="81" t="s">
        <v>412</v>
      </c>
      <c r="H28" s="81" t="s">
        <v>60</v>
      </c>
      <c r="I28" s="81" t="s">
        <v>25</v>
      </c>
      <c r="J28" s="81">
        <v>1075.4000000000001</v>
      </c>
      <c r="K28" s="81">
        <v>180.57</v>
      </c>
      <c r="L28" s="81">
        <v>29.159080128657902</v>
      </c>
      <c r="M28" s="81">
        <v>2.1040497047593498</v>
      </c>
      <c r="N28" s="81">
        <v>0</v>
      </c>
      <c r="O28" s="81">
        <v>0</v>
      </c>
      <c r="P28" s="81">
        <v>0</v>
      </c>
      <c r="Q28" s="81">
        <v>83.547737182055599</v>
      </c>
      <c r="R28" s="81">
        <v>13.2167090985033</v>
      </c>
      <c r="S28" s="81">
        <v>0</v>
      </c>
      <c r="T28" s="81">
        <v>0</v>
      </c>
      <c r="U28" s="81">
        <v>0</v>
      </c>
      <c r="V28" s="81">
        <v>0</v>
      </c>
      <c r="W28" s="81">
        <v>0</v>
      </c>
      <c r="X28" s="81">
        <v>434.90316761850102</v>
      </c>
      <c r="Y28" s="81">
        <v>0</v>
      </c>
      <c r="Z28" s="81">
        <v>0</v>
      </c>
      <c r="AA28" s="81">
        <v>500.723752167952</v>
      </c>
      <c r="AB28" s="81">
        <v>0</v>
      </c>
      <c r="AC28" s="81">
        <v>0</v>
      </c>
      <c r="AD28" s="81">
        <v>0</v>
      </c>
      <c r="AE28" s="81">
        <v>11.743017130769299</v>
      </c>
      <c r="AF28" s="81">
        <v>0</v>
      </c>
      <c r="AG28" s="81">
        <v>0</v>
      </c>
      <c r="AH28" s="81">
        <v>0</v>
      </c>
      <c r="AI28" s="81">
        <v>0</v>
      </c>
      <c r="AJ28" s="81">
        <v>0</v>
      </c>
      <c r="AK28" s="81">
        <v>0</v>
      </c>
      <c r="AL28" s="81">
        <v>0</v>
      </c>
      <c r="AM28" s="81">
        <v>0</v>
      </c>
      <c r="AN28" s="81">
        <v>180.57465387824701</v>
      </c>
      <c r="AO28" s="81">
        <v>0</v>
      </c>
      <c r="AP28" s="81">
        <v>0</v>
      </c>
      <c r="AQ28" s="81">
        <v>0</v>
      </c>
      <c r="AR28" s="81">
        <v>0</v>
      </c>
      <c r="AS28" s="81">
        <v>0</v>
      </c>
      <c r="AT28" s="82">
        <v>0</v>
      </c>
    </row>
    <row r="29" spans="2:46" ht="12" customHeight="1" x14ac:dyDescent="0.25">
      <c r="B29" s="80" t="s">
        <v>31</v>
      </c>
      <c r="C29" s="81" t="s">
        <v>76</v>
      </c>
      <c r="D29" s="81" t="s">
        <v>32</v>
      </c>
      <c r="E29" s="81" t="s">
        <v>79</v>
      </c>
      <c r="F29" s="81" t="s">
        <v>25</v>
      </c>
      <c r="G29" s="81" t="s">
        <v>409</v>
      </c>
      <c r="H29" s="81" t="s">
        <v>60</v>
      </c>
      <c r="I29" s="81" t="s">
        <v>25</v>
      </c>
      <c r="J29" s="81">
        <v>701.12</v>
      </c>
      <c r="K29" s="81">
        <v>180.57</v>
      </c>
      <c r="L29" s="81">
        <v>29.159080128657902</v>
      </c>
      <c r="M29" s="81">
        <v>2.1040497047593498</v>
      </c>
      <c r="N29" s="81">
        <v>0</v>
      </c>
      <c r="O29" s="81">
        <v>0</v>
      </c>
      <c r="P29" s="81">
        <v>0</v>
      </c>
      <c r="Q29" s="81">
        <v>83.547737182055599</v>
      </c>
      <c r="R29" s="81">
        <v>13.2167090985033</v>
      </c>
      <c r="S29" s="81">
        <v>0</v>
      </c>
      <c r="T29" s="81">
        <v>0</v>
      </c>
      <c r="U29" s="81">
        <v>0</v>
      </c>
      <c r="V29" s="81">
        <v>0</v>
      </c>
      <c r="W29" s="81">
        <v>0</v>
      </c>
      <c r="X29" s="81">
        <v>260.91284172484802</v>
      </c>
      <c r="Y29" s="81">
        <v>0</v>
      </c>
      <c r="Z29" s="81">
        <v>0</v>
      </c>
      <c r="AA29" s="81">
        <v>300.43414456735201</v>
      </c>
      <c r="AB29" s="81">
        <v>0</v>
      </c>
      <c r="AC29" s="81">
        <v>0</v>
      </c>
      <c r="AD29" s="81">
        <v>0</v>
      </c>
      <c r="AE29" s="81">
        <v>11.743017130769299</v>
      </c>
      <c r="AF29" s="81">
        <v>0</v>
      </c>
      <c r="AG29" s="81">
        <v>0</v>
      </c>
      <c r="AH29" s="81">
        <v>0</v>
      </c>
      <c r="AI29" s="81">
        <v>0</v>
      </c>
      <c r="AJ29" s="81">
        <v>0</v>
      </c>
      <c r="AK29" s="81">
        <v>0</v>
      </c>
      <c r="AL29" s="81">
        <v>0</v>
      </c>
      <c r="AM29" s="81">
        <v>0</v>
      </c>
      <c r="AN29" s="81">
        <v>180.57465387824701</v>
      </c>
      <c r="AO29" s="81">
        <v>0</v>
      </c>
      <c r="AP29" s="81">
        <v>0</v>
      </c>
      <c r="AQ29" s="81">
        <v>0</v>
      </c>
      <c r="AR29" s="81">
        <v>0</v>
      </c>
      <c r="AS29" s="81">
        <v>0</v>
      </c>
      <c r="AT29" s="82">
        <v>0</v>
      </c>
    </row>
    <row r="30" spans="2:46" ht="12" customHeight="1" x14ac:dyDescent="0.25">
      <c r="B30" s="80" t="s">
        <v>31</v>
      </c>
      <c r="C30" s="81" t="s">
        <v>76</v>
      </c>
      <c r="D30" s="81" t="s">
        <v>32</v>
      </c>
      <c r="E30" s="81" t="s">
        <v>79</v>
      </c>
      <c r="F30" s="81" t="s">
        <v>25</v>
      </c>
      <c r="G30" s="81" t="s">
        <v>414</v>
      </c>
      <c r="H30" s="81" t="s">
        <v>60</v>
      </c>
      <c r="I30" s="81" t="s">
        <v>25</v>
      </c>
      <c r="J30" s="81">
        <v>326.83999999999997</v>
      </c>
      <c r="K30" s="81">
        <v>180.57</v>
      </c>
      <c r="L30" s="81">
        <v>29.159080128657902</v>
      </c>
      <c r="M30" s="81">
        <v>2.1040497047593498</v>
      </c>
      <c r="N30" s="81">
        <v>0</v>
      </c>
      <c r="O30" s="81">
        <v>0</v>
      </c>
      <c r="P30" s="81">
        <v>0</v>
      </c>
      <c r="Q30" s="81">
        <v>83.547737182055599</v>
      </c>
      <c r="R30" s="81">
        <v>13.2167090985033</v>
      </c>
      <c r="S30" s="81">
        <v>0</v>
      </c>
      <c r="T30" s="81">
        <v>0</v>
      </c>
      <c r="U30" s="81">
        <v>0</v>
      </c>
      <c r="V30" s="81">
        <v>0</v>
      </c>
      <c r="W30" s="81">
        <v>0</v>
      </c>
      <c r="X30" s="81">
        <v>86.922408285501803</v>
      </c>
      <c r="Y30" s="81">
        <v>0</v>
      </c>
      <c r="Z30" s="81">
        <v>0</v>
      </c>
      <c r="AA30" s="81">
        <v>100.144727562143</v>
      </c>
      <c r="AB30" s="81">
        <v>0</v>
      </c>
      <c r="AC30" s="81">
        <v>0</v>
      </c>
      <c r="AD30" s="81">
        <v>0</v>
      </c>
      <c r="AE30" s="81">
        <v>11.743017130769299</v>
      </c>
      <c r="AF30" s="81">
        <v>0</v>
      </c>
      <c r="AG30" s="81">
        <v>0</v>
      </c>
      <c r="AH30" s="81">
        <v>0</v>
      </c>
      <c r="AI30" s="81">
        <v>0</v>
      </c>
      <c r="AJ30" s="81">
        <v>0</v>
      </c>
      <c r="AK30" s="81">
        <v>0</v>
      </c>
      <c r="AL30" s="81">
        <v>0</v>
      </c>
      <c r="AM30" s="81">
        <v>0</v>
      </c>
      <c r="AN30" s="81">
        <v>180.57465387824701</v>
      </c>
      <c r="AO30" s="81">
        <v>0</v>
      </c>
      <c r="AP30" s="81">
        <v>0</v>
      </c>
      <c r="AQ30" s="81">
        <v>0</v>
      </c>
      <c r="AR30" s="81">
        <v>0</v>
      </c>
      <c r="AS30" s="81">
        <v>0</v>
      </c>
      <c r="AT30" s="82">
        <v>0</v>
      </c>
    </row>
    <row r="31" spans="2:46" ht="12" customHeight="1" x14ac:dyDescent="0.25">
      <c r="B31" s="80" t="s">
        <v>31</v>
      </c>
      <c r="C31" s="81" t="s">
        <v>76</v>
      </c>
      <c r="D31" s="81" t="s">
        <v>32</v>
      </c>
      <c r="E31" s="81" t="s">
        <v>25</v>
      </c>
      <c r="F31" s="81" t="s">
        <v>25</v>
      </c>
      <c r="G31" s="81" t="s">
        <v>412</v>
      </c>
      <c r="H31" s="81" t="s">
        <v>60</v>
      </c>
      <c r="I31" s="81" t="s">
        <v>25</v>
      </c>
      <c r="J31" s="81">
        <v>1075.4000000000001</v>
      </c>
      <c r="K31" s="81">
        <v>180.57</v>
      </c>
      <c r="L31" s="81">
        <v>29.159080128657902</v>
      </c>
      <c r="M31" s="81">
        <v>2.1040497047593498</v>
      </c>
      <c r="N31" s="81">
        <v>0</v>
      </c>
      <c r="O31" s="81">
        <v>0</v>
      </c>
      <c r="P31" s="81">
        <v>0</v>
      </c>
      <c r="Q31" s="81">
        <v>83.547737182055599</v>
      </c>
      <c r="R31" s="81">
        <v>13.2167090985033</v>
      </c>
      <c r="S31" s="81">
        <v>0</v>
      </c>
      <c r="T31" s="81">
        <v>0</v>
      </c>
      <c r="U31" s="81">
        <v>0</v>
      </c>
      <c r="V31" s="81">
        <v>0</v>
      </c>
      <c r="W31" s="81">
        <v>0</v>
      </c>
      <c r="X31" s="81">
        <v>434.90316761850102</v>
      </c>
      <c r="Y31" s="81">
        <v>0</v>
      </c>
      <c r="Z31" s="81">
        <v>0</v>
      </c>
      <c r="AA31" s="81">
        <v>500.723752167952</v>
      </c>
      <c r="AB31" s="81">
        <v>0</v>
      </c>
      <c r="AC31" s="81">
        <v>0</v>
      </c>
      <c r="AD31" s="81">
        <v>0</v>
      </c>
      <c r="AE31" s="81">
        <v>11.743017130769299</v>
      </c>
      <c r="AF31" s="81">
        <v>0</v>
      </c>
      <c r="AG31" s="81">
        <v>0</v>
      </c>
      <c r="AH31" s="81">
        <v>0</v>
      </c>
      <c r="AI31" s="81">
        <v>0</v>
      </c>
      <c r="AJ31" s="81">
        <v>0</v>
      </c>
      <c r="AK31" s="81">
        <v>0</v>
      </c>
      <c r="AL31" s="81">
        <v>0</v>
      </c>
      <c r="AM31" s="81">
        <v>0</v>
      </c>
      <c r="AN31" s="81">
        <v>180.57465387824701</v>
      </c>
      <c r="AO31" s="81">
        <v>0</v>
      </c>
      <c r="AP31" s="81">
        <v>0</v>
      </c>
      <c r="AQ31" s="81">
        <v>0</v>
      </c>
      <c r="AR31" s="81">
        <v>0</v>
      </c>
      <c r="AS31" s="81">
        <v>0</v>
      </c>
      <c r="AT31" s="82">
        <v>0</v>
      </c>
    </row>
    <row r="32" spans="2:46" ht="12" customHeight="1" x14ac:dyDescent="0.25">
      <c r="B32" s="80" t="s">
        <v>31</v>
      </c>
      <c r="C32" s="81" t="s">
        <v>76</v>
      </c>
      <c r="D32" s="81" t="s">
        <v>32</v>
      </c>
      <c r="E32" s="81" t="s">
        <v>25</v>
      </c>
      <c r="F32" s="81" t="s">
        <v>25</v>
      </c>
      <c r="G32" s="81" t="s">
        <v>409</v>
      </c>
      <c r="H32" s="81" t="s">
        <v>60</v>
      </c>
      <c r="I32" s="81" t="s">
        <v>25</v>
      </c>
      <c r="J32" s="81">
        <v>701.12</v>
      </c>
      <c r="K32" s="81">
        <v>180.57</v>
      </c>
      <c r="L32" s="81">
        <v>29.159080128657902</v>
      </c>
      <c r="M32" s="81">
        <v>2.1040497047593498</v>
      </c>
      <c r="N32" s="81">
        <v>0</v>
      </c>
      <c r="O32" s="81">
        <v>0</v>
      </c>
      <c r="P32" s="81">
        <v>0</v>
      </c>
      <c r="Q32" s="81">
        <v>83.547737182055599</v>
      </c>
      <c r="R32" s="81">
        <v>13.2167090985033</v>
      </c>
      <c r="S32" s="81">
        <v>0</v>
      </c>
      <c r="T32" s="81">
        <v>0</v>
      </c>
      <c r="U32" s="81">
        <v>0</v>
      </c>
      <c r="V32" s="81">
        <v>0</v>
      </c>
      <c r="W32" s="81">
        <v>0</v>
      </c>
      <c r="X32" s="81">
        <v>260.91284172484802</v>
      </c>
      <c r="Y32" s="81">
        <v>0</v>
      </c>
      <c r="Z32" s="81">
        <v>0</v>
      </c>
      <c r="AA32" s="81">
        <v>300.43414456735201</v>
      </c>
      <c r="AB32" s="81">
        <v>0</v>
      </c>
      <c r="AC32" s="81">
        <v>0</v>
      </c>
      <c r="AD32" s="81">
        <v>0</v>
      </c>
      <c r="AE32" s="81">
        <v>11.743017130769299</v>
      </c>
      <c r="AF32" s="81">
        <v>0</v>
      </c>
      <c r="AG32" s="81">
        <v>0</v>
      </c>
      <c r="AH32" s="81">
        <v>0</v>
      </c>
      <c r="AI32" s="81">
        <v>0</v>
      </c>
      <c r="AJ32" s="81">
        <v>0</v>
      </c>
      <c r="AK32" s="81">
        <v>0</v>
      </c>
      <c r="AL32" s="81">
        <v>0</v>
      </c>
      <c r="AM32" s="81">
        <v>0</v>
      </c>
      <c r="AN32" s="81">
        <v>180.57465387824701</v>
      </c>
      <c r="AO32" s="81">
        <v>0</v>
      </c>
      <c r="AP32" s="81">
        <v>0</v>
      </c>
      <c r="AQ32" s="81">
        <v>0</v>
      </c>
      <c r="AR32" s="81">
        <v>0</v>
      </c>
      <c r="AS32" s="81">
        <v>0</v>
      </c>
      <c r="AT32" s="82">
        <v>0</v>
      </c>
    </row>
    <row r="33" spans="2:46" ht="12" customHeight="1" x14ac:dyDescent="0.25">
      <c r="B33" s="80" t="s">
        <v>31</v>
      </c>
      <c r="C33" s="81" t="s">
        <v>76</v>
      </c>
      <c r="D33" s="81" t="s">
        <v>32</v>
      </c>
      <c r="E33" s="81" t="s">
        <v>25</v>
      </c>
      <c r="F33" s="81" t="s">
        <v>25</v>
      </c>
      <c r="G33" s="81" t="s">
        <v>414</v>
      </c>
      <c r="H33" s="81" t="s">
        <v>60</v>
      </c>
      <c r="I33" s="81" t="s">
        <v>25</v>
      </c>
      <c r="J33" s="81">
        <v>326.83999999999997</v>
      </c>
      <c r="K33" s="81">
        <v>180.57</v>
      </c>
      <c r="L33" s="81">
        <v>29.159080128657902</v>
      </c>
      <c r="M33" s="81">
        <v>2.1040497047593498</v>
      </c>
      <c r="N33" s="81">
        <v>0</v>
      </c>
      <c r="O33" s="81">
        <v>0</v>
      </c>
      <c r="P33" s="81">
        <v>0</v>
      </c>
      <c r="Q33" s="81">
        <v>83.547737182055599</v>
      </c>
      <c r="R33" s="81">
        <v>13.2167090985033</v>
      </c>
      <c r="S33" s="81">
        <v>0</v>
      </c>
      <c r="T33" s="81">
        <v>0</v>
      </c>
      <c r="U33" s="81">
        <v>0</v>
      </c>
      <c r="V33" s="81">
        <v>0</v>
      </c>
      <c r="W33" s="81">
        <v>0</v>
      </c>
      <c r="X33" s="81">
        <v>86.922408285501803</v>
      </c>
      <c r="Y33" s="81">
        <v>0</v>
      </c>
      <c r="Z33" s="81">
        <v>0</v>
      </c>
      <c r="AA33" s="81">
        <v>100.144727562143</v>
      </c>
      <c r="AB33" s="81">
        <v>0</v>
      </c>
      <c r="AC33" s="81">
        <v>0</v>
      </c>
      <c r="AD33" s="81">
        <v>0</v>
      </c>
      <c r="AE33" s="81">
        <v>11.743017130769299</v>
      </c>
      <c r="AF33" s="81">
        <v>0</v>
      </c>
      <c r="AG33" s="81">
        <v>0</v>
      </c>
      <c r="AH33" s="81">
        <v>0</v>
      </c>
      <c r="AI33" s="81">
        <v>0</v>
      </c>
      <c r="AJ33" s="81">
        <v>0</v>
      </c>
      <c r="AK33" s="81">
        <v>0</v>
      </c>
      <c r="AL33" s="81">
        <v>0</v>
      </c>
      <c r="AM33" s="81">
        <v>0</v>
      </c>
      <c r="AN33" s="81">
        <v>180.57465387824701</v>
      </c>
      <c r="AO33" s="81">
        <v>0</v>
      </c>
      <c r="AP33" s="81">
        <v>0</v>
      </c>
      <c r="AQ33" s="81">
        <v>0</v>
      </c>
      <c r="AR33" s="81">
        <v>0</v>
      </c>
      <c r="AS33" s="81">
        <v>0</v>
      </c>
      <c r="AT33" s="82">
        <v>0</v>
      </c>
    </row>
    <row r="34" spans="2:46" ht="12" customHeight="1" x14ac:dyDescent="0.25">
      <c r="B34" s="80" t="s">
        <v>31</v>
      </c>
      <c r="C34" s="81" t="s">
        <v>76</v>
      </c>
      <c r="D34" s="81" t="s">
        <v>32</v>
      </c>
      <c r="E34" s="81" t="s">
        <v>80</v>
      </c>
      <c r="F34" s="81" t="s">
        <v>25</v>
      </c>
      <c r="G34" s="81" t="s">
        <v>412</v>
      </c>
      <c r="H34" s="81" t="s">
        <v>60</v>
      </c>
      <c r="I34" s="81" t="s">
        <v>25</v>
      </c>
      <c r="J34" s="81">
        <v>1052.52</v>
      </c>
      <c r="K34" s="81">
        <v>176.73</v>
      </c>
      <c r="L34" s="81">
        <v>28.538674168473701</v>
      </c>
      <c r="M34" s="81">
        <v>2.05928268976447</v>
      </c>
      <c r="N34" s="81">
        <v>0</v>
      </c>
      <c r="O34" s="81">
        <v>0</v>
      </c>
      <c r="P34" s="81">
        <v>0</v>
      </c>
      <c r="Q34" s="81">
        <v>81.770125752650202</v>
      </c>
      <c r="R34" s="81">
        <v>12.9355025219394</v>
      </c>
      <c r="S34" s="81">
        <v>0</v>
      </c>
      <c r="T34" s="81">
        <v>0</v>
      </c>
      <c r="U34" s="81">
        <v>0</v>
      </c>
      <c r="V34" s="81">
        <v>0</v>
      </c>
      <c r="W34" s="81">
        <v>0</v>
      </c>
      <c r="X34" s="81">
        <v>425.64990873300098</v>
      </c>
      <c r="Y34" s="81">
        <v>0</v>
      </c>
      <c r="Z34" s="81">
        <v>0</v>
      </c>
      <c r="AA34" s="81">
        <v>490.07005531331498</v>
      </c>
      <c r="AB34" s="81">
        <v>0</v>
      </c>
      <c r="AC34" s="81">
        <v>0</v>
      </c>
      <c r="AD34" s="81">
        <v>0</v>
      </c>
      <c r="AE34" s="81">
        <v>11.4931657024551</v>
      </c>
      <c r="AF34" s="81">
        <v>0</v>
      </c>
      <c r="AG34" s="81">
        <v>0</v>
      </c>
      <c r="AH34" s="81">
        <v>0</v>
      </c>
      <c r="AI34" s="81">
        <v>0</v>
      </c>
      <c r="AJ34" s="81">
        <v>0</v>
      </c>
      <c r="AK34" s="81">
        <v>0</v>
      </c>
      <c r="AL34" s="81">
        <v>0</v>
      </c>
      <c r="AM34" s="81">
        <v>0</v>
      </c>
      <c r="AN34" s="81">
        <v>176.73263996594301</v>
      </c>
      <c r="AO34" s="81">
        <v>0</v>
      </c>
      <c r="AP34" s="81">
        <v>0</v>
      </c>
      <c r="AQ34" s="81">
        <v>0</v>
      </c>
      <c r="AR34" s="81">
        <v>0</v>
      </c>
      <c r="AS34" s="81">
        <v>0</v>
      </c>
      <c r="AT34" s="82">
        <v>0</v>
      </c>
    </row>
    <row r="35" spans="2:46" ht="12" customHeight="1" x14ac:dyDescent="0.25">
      <c r="B35" s="80" t="s">
        <v>31</v>
      </c>
      <c r="C35" s="81" t="s">
        <v>76</v>
      </c>
      <c r="D35" s="81" t="s">
        <v>32</v>
      </c>
      <c r="E35" s="81" t="s">
        <v>80</v>
      </c>
      <c r="F35" s="81" t="s">
        <v>25</v>
      </c>
      <c r="G35" s="81" t="s">
        <v>409</v>
      </c>
      <c r="H35" s="81" t="s">
        <v>60</v>
      </c>
      <c r="I35" s="81" t="s">
        <v>25</v>
      </c>
      <c r="J35" s="81">
        <v>686.2</v>
      </c>
      <c r="K35" s="81">
        <v>176.73</v>
      </c>
      <c r="L35" s="81">
        <v>28.538674168473701</v>
      </c>
      <c r="M35" s="81">
        <v>2.05928268976447</v>
      </c>
      <c r="N35" s="81">
        <v>0</v>
      </c>
      <c r="O35" s="81">
        <v>0</v>
      </c>
      <c r="P35" s="81">
        <v>0</v>
      </c>
      <c r="Q35" s="81">
        <v>81.770125752650202</v>
      </c>
      <c r="R35" s="81">
        <v>12.9355025219394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255.361504666873</v>
      </c>
      <c r="Y35" s="81">
        <v>0</v>
      </c>
      <c r="Z35" s="81">
        <v>0</v>
      </c>
      <c r="AA35" s="81">
        <v>294.04192872549299</v>
      </c>
      <c r="AB35" s="81">
        <v>0</v>
      </c>
      <c r="AC35" s="81">
        <v>0</v>
      </c>
      <c r="AD35" s="81">
        <v>0</v>
      </c>
      <c r="AE35" s="81">
        <v>11.4931657024551</v>
      </c>
      <c r="AF35" s="81">
        <v>0</v>
      </c>
      <c r="AG35" s="81">
        <v>0</v>
      </c>
      <c r="AH35" s="81">
        <v>0</v>
      </c>
      <c r="AI35" s="81">
        <v>0</v>
      </c>
      <c r="AJ35" s="81">
        <v>0</v>
      </c>
      <c r="AK35" s="81">
        <v>0</v>
      </c>
      <c r="AL35" s="81">
        <v>0</v>
      </c>
      <c r="AM35" s="81">
        <v>0</v>
      </c>
      <c r="AN35" s="81">
        <v>176.73263996594301</v>
      </c>
      <c r="AO35" s="81">
        <v>0</v>
      </c>
      <c r="AP35" s="81">
        <v>0</v>
      </c>
      <c r="AQ35" s="81">
        <v>0</v>
      </c>
      <c r="AR35" s="81">
        <v>0</v>
      </c>
      <c r="AS35" s="81">
        <v>0</v>
      </c>
      <c r="AT35" s="82">
        <v>0</v>
      </c>
    </row>
    <row r="36" spans="2:46" ht="12" customHeight="1" x14ac:dyDescent="0.25">
      <c r="B36" s="80" t="s">
        <v>31</v>
      </c>
      <c r="C36" s="81" t="s">
        <v>76</v>
      </c>
      <c r="D36" s="81" t="s">
        <v>32</v>
      </c>
      <c r="E36" s="81" t="s">
        <v>80</v>
      </c>
      <c r="F36" s="81" t="s">
        <v>25</v>
      </c>
      <c r="G36" s="81" t="s">
        <v>414</v>
      </c>
      <c r="H36" s="81" t="s">
        <v>60</v>
      </c>
      <c r="I36" s="81" t="s">
        <v>25</v>
      </c>
      <c r="J36" s="81">
        <v>319.88</v>
      </c>
      <c r="K36" s="81">
        <v>176.73</v>
      </c>
      <c r="L36" s="81">
        <v>28.538674168473701</v>
      </c>
      <c r="M36" s="81">
        <v>2.05928268976447</v>
      </c>
      <c r="N36" s="81">
        <v>0</v>
      </c>
      <c r="O36" s="81">
        <v>0</v>
      </c>
      <c r="P36" s="81">
        <v>0</v>
      </c>
      <c r="Q36" s="81">
        <v>81.770125752650202</v>
      </c>
      <c r="R36" s="81">
        <v>12.9355025219394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85.072995343257105</v>
      </c>
      <c r="Y36" s="81">
        <v>0</v>
      </c>
      <c r="Z36" s="81">
        <v>0</v>
      </c>
      <c r="AA36" s="81">
        <v>98.013988677842406</v>
      </c>
      <c r="AB36" s="81">
        <v>0</v>
      </c>
      <c r="AC36" s="81">
        <v>0</v>
      </c>
      <c r="AD36" s="81">
        <v>0</v>
      </c>
      <c r="AE36" s="81">
        <v>11.4931657024551</v>
      </c>
      <c r="AF36" s="81">
        <v>0</v>
      </c>
      <c r="AG36" s="81">
        <v>0</v>
      </c>
      <c r="AH36" s="81">
        <v>0</v>
      </c>
      <c r="AI36" s="81">
        <v>0</v>
      </c>
      <c r="AJ36" s="81">
        <v>0</v>
      </c>
      <c r="AK36" s="81">
        <v>0</v>
      </c>
      <c r="AL36" s="81">
        <v>0</v>
      </c>
      <c r="AM36" s="81">
        <v>0</v>
      </c>
      <c r="AN36" s="81">
        <v>176.73263996594301</v>
      </c>
      <c r="AO36" s="81">
        <v>0</v>
      </c>
      <c r="AP36" s="81">
        <v>0</v>
      </c>
      <c r="AQ36" s="81">
        <v>0</v>
      </c>
      <c r="AR36" s="81">
        <v>0</v>
      </c>
      <c r="AS36" s="81">
        <v>0</v>
      </c>
      <c r="AT36" s="82">
        <v>0</v>
      </c>
    </row>
    <row r="37" spans="2:46" ht="12" customHeight="1" x14ac:dyDescent="0.25">
      <c r="B37" s="80" t="s">
        <v>31</v>
      </c>
      <c r="C37" s="81" t="s">
        <v>23</v>
      </c>
      <c r="D37" s="81" t="s">
        <v>32</v>
      </c>
      <c r="E37" s="81" t="s">
        <v>79</v>
      </c>
      <c r="F37" s="81" t="s">
        <v>25</v>
      </c>
      <c r="G37" s="81" t="s">
        <v>25</v>
      </c>
      <c r="H37" s="81" t="s">
        <v>60</v>
      </c>
      <c r="I37" s="81" t="s">
        <v>25</v>
      </c>
      <c r="J37" s="81">
        <v>456.93</v>
      </c>
      <c r="K37" s="81">
        <v>180.57</v>
      </c>
      <c r="L37" s="81">
        <v>29.159080128657902</v>
      </c>
      <c r="M37" s="81">
        <v>2.1040497047593498</v>
      </c>
      <c r="N37" s="81">
        <v>0</v>
      </c>
      <c r="O37" s="81">
        <v>0</v>
      </c>
      <c r="P37" s="81">
        <v>0</v>
      </c>
      <c r="Q37" s="81">
        <v>83.547737182055599</v>
      </c>
      <c r="R37" s="81">
        <v>13.2167090985033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147.41868888331601</v>
      </c>
      <c r="Y37" s="81">
        <v>0</v>
      </c>
      <c r="Z37" s="81">
        <v>0</v>
      </c>
      <c r="AA37" s="81">
        <v>169.73686126516199</v>
      </c>
      <c r="AB37" s="81">
        <v>0</v>
      </c>
      <c r="AC37" s="81">
        <v>0</v>
      </c>
      <c r="AD37" s="81">
        <v>0</v>
      </c>
      <c r="AE37" s="81">
        <v>11.743017130769299</v>
      </c>
      <c r="AF37" s="81">
        <v>0</v>
      </c>
      <c r="AG37" s="81">
        <v>0</v>
      </c>
      <c r="AH37" s="81">
        <v>0</v>
      </c>
      <c r="AI37" s="81">
        <v>0</v>
      </c>
      <c r="AJ37" s="81">
        <v>0</v>
      </c>
      <c r="AK37" s="81">
        <v>0</v>
      </c>
      <c r="AL37" s="81">
        <v>0</v>
      </c>
      <c r="AM37" s="81">
        <v>0</v>
      </c>
      <c r="AN37" s="81">
        <v>180.57465387824701</v>
      </c>
      <c r="AO37" s="81">
        <v>0</v>
      </c>
      <c r="AP37" s="81">
        <v>0</v>
      </c>
      <c r="AQ37" s="81">
        <v>0</v>
      </c>
      <c r="AR37" s="81">
        <v>0</v>
      </c>
      <c r="AS37" s="81">
        <v>0</v>
      </c>
      <c r="AT37" s="82">
        <v>0</v>
      </c>
    </row>
    <row r="38" spans="2:46" ht="12" customHeight="1" x14ac:dyDescent="0.25">
      <c r="B38" s="80" t="s">
        <v>31</v>
      </c>
      <c r="C38" s="81" t="s">
        <v>23</v>
      </c>
      <c r="D38" s="81" t="s">
        <v>32</v>
      </c>
      <c r="E38" s="81" t="s">
        <v>25</v>
      </c>
      <c r="F38" s="81" t="s">
        <v>25</v>
      </c>
      <c r="G38" s="81" t="s">
        <v>25</v>
      </c>
      <c r="H38" s="81" t="s">
        <v>60</v>
      </c>
      <c r="I38" s="81" t="s">
        <v>25</v>
      </c>
      <c r="J38" s="81">
        <v>456.93</v>
      </c>
      <c r="K38" s="81">
        <v>180.57</v>
      </c>
      <c r="L38" s="81">
        <v>29.159080128657902</v>
      </c>
      <c r="M38" s="81">
        <v>2.1040497047593498</v>
      </c>
      <c r="N38" s="81">
        <v>0</v>
      </c>
      <c r="O38" s="81">
        <v>0</v>
      </c>
      <c r="P38" s="81">
        <v>0</v>
      </c>
      <c r="Q38" s="81">
        <v>83.547737182055599</v>
      </c>
      <c r="R38" s="81">
        <v>13.2167090985033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X38" s="81">
        <v>147.41868888331601</v>
      </c>
      <c r="Y38" s="81">
        <v>0</v>
      </c>
      <c r="Z38" s="81">
        <v>0</v>
      </c>
      <c r="AA38" s="81">
        <v>169.73686126516199</v>
      </c>
      <c r="AB38" s="81">
        <v>0</v>
      </c>
      <c r="AC38" s="81">
        <v>0</v>
      </c>
      <c r="AD38" s="81">
        <v>0</v>
      </c>
      <c r="AE38" s="81">
        <v>11.743017130769299</v>
      </c>
      <c r="AF38" s="81">
        <v>0</v>
      </c>
      <c r="AG38" s="81">
        <v>0</v>
      </c>
      <c r="AH38" s="81">
        <v>0</v>
      </c>
      <c r="AI38" s="81">
        <v>0</v>
      </c>
      <c r="AJ38" s="81">
        <v>0</v>
      </c>
      <c r="AK38" s="81">
        <v>0</v>
      </c>
      <c r="AL38" s="81">
        <v>0</v>
      </c>
      <c r="AM38" s="81">
        <v>0</v>
      </c>
      <c r="AN38" s="81">
        <v>180.57465387824701</v>
      </c>
      <c r="AO38" s="81">
        <v>0</v>
      </c>
      <c r="AP38" s="81">
        <v>0</v>
      </c>
      <c r="AQ38" s="81">
        <v>0</v>
      </c>
      <c r="AR38" s="81">
        <v>0</v>
      </c>
      <c r="AS38" s="81">
        <v>0</v>
      </c>
      <c r="AT38" s="82">
        <v>0</v>
      </c>
    </row>
    <row r="39" spans="2:46" ht="12" customHeight="1" x14ac:dyDescent="0.25">
      <c r="B39" s="80" t="s">
        <v>31</v>
      </c>
      <c r="C39" s="81" t="s">
        <v>23</v>
      </c>
      <c r="D39" s="81" t="s">
        <v>32</v>
      </c>
      <c r="E39" s="81" t="s">
        <v>80</v>
      </c>
      <c r="F39" s="81" t="s">
        <v>25</v>
      </c>
      <c r="G39" s="81" t="s">
        <v>25</v>
      </c>
      <c r="H39" s="81" t="s">
        <v>60</v>
      </c>
      <c r="I39" s="81" t="s">
        <v>25</v>
      </c>
      <c r="J39" s="81">
        <v>447.2</v>
      </c>
      <c r="K39" s="81">
        <v>176.73</v>
      </c>
      <c r="L39" s="81">
        <v>28.538674168473701</v>
      </c>
      <c r="M39" s="81">
        <v>2.05928268976447</v>
      </c>
      <c r="N39" s="81">
        <v>0</v>
      </c>
      <c r="O39" s="81">
        <v>0</v>
      </c>
      <c r="P39" s="81">
        <v>0</v>
      </c>
      <c r="Q39" s="81">
        <v>81.770125752650202</v>
      </c>
      <c r="R39" s="81">
        <v>12.9355025219394</v>
      </c>
      <c r="S39" s="81">
        <v>0</v>
      </c>
      <c r="T39" s="81">
        <v>0</v>
      </c>
      <c r="U39" s="81">
        <v>0</v>
      </c>
      <c r="V39" s="81">
        <v>0</v>
      </c>
      <c r="W39" s="81">
        <v>0</v>
      </c>
      <c r="X39" s="81">
        <v>144.28212103473501</v>
      </c>
      <c r="Y39" s="81">
        <v>0</v>
      </c>
      <c r="Z39" s="81">
        <v>0</v>
      </c>
      <c r="AA39" s="81">
        <v>166.12543868505199</v>
      </c>
      <c r="AB39" s="81">
        <v>0</v>
      </c>
      <c r="AC39" s="81">
        <v>0</v>
      </c>
      <c r="AD39" s="81">
        <v>0</v>
      </c>
      <c r="AE39" s="81">
        <v>11.4931657024551</v>
      </c>
      <c r="AF39" s="81">
        <v>0</v>
      </c>
      <c r="AG39" s="81">
        <v>0</v>
      </c>
      <c r="AH39" s="81">
        <v>0</v>
      </c>
      <c r="AI39" s="81">
        <v>0</v>
      </c>
      <c r="AJ39" s="81">
        <v>0</v>
      </c>
      <c r="AK39" s="81">
        <v>0</v>
      </c>
      <c r="AL39" s="81">
        <v>0</v>
      </c>
      <c r="AM39" s="81">
        <v>0</v>
      </c>
      <c r="AN39" s="81">
        <v>176.73263996594301</v>
      </c>
      <c r="AO39" s="81">
        <v>0</v>
      </c>
      <c r="AP39" s="81">
        <v>0</v>
      </c>
      <c r="AQ39" s="81">
        <v>0</v>
      </c>
      <c r="AR39" s="81">
        <v>0</v>
      </c>
      <c r="AS39" s="81">
        <v>0</v>
      </c>
      <c r="AT39" s="82">
        <v>0</v>
      </c>
    </row>
    <row r="40" spans="2:46" ht="12" customHeight="1" x14ac:dyDescent="0.25">
      <c r="B40" s="80" t="s">
        <v>31</v>
      </c>
      <c r="C40" s="81" t="s">
        <v>78</v>
      </c>
      <c r="D40" s="81" t="s">
        <v>32</v>
      </c>
      <c r="E40" s="81" t="s">
        <v>79</v>
      </c>
      <c r="F40" s="81" t="s">
        <v>25</v>
      </c>
      <c r="G40" s="81" t="s">
        <v>25</v>
      </c>
      <c r="H40" s="81" t="s">
        <v>60</v>
      </c>
      <c r="I40" s="81" t="s">
        <v>25</v>
      </c>
      <c r="J40" s="81">
        <v>456.93</v>
      </c>
      <c r="K40" s="81">
        <v>180.57</v>
      </c>
      <c r="L40" s="81">
        <v>29.159080128657902</v>
      </c>
      <c r="M40" s="81">
        <v>2.1040497047593498</v>
      </c>
      <c r="N40" s="81">
        <v>0</v>
      </c>
      <c r="O40" s="81">
        <v>0</v>
      </c>
      <c r="P40" s="81">
        <v>0</v>
      </c>
      <c r="Q40" s="81">
        <v>83.547737182055599</v>
      </c>
      <c r="R40" s="81">
        <v>13.2167090985033</v>
      </c>
      <c r="S40" s="81">
        <v>0</v>
      </c>
      <c r="T40" s="81">
        <v>0</v>
      </c>
      <c r="U40" s="81">
        <v>0</v>
      </c>
      <c r="V40" s="81">
        <v>0</v>
      </c>
      <c r="W40" s="81">
        <v>0</v>
      </c>
      <c r="X40" s="81">
        <v>147.41868888331601</v>
      </c>
      <c r="Y40" s="81">
        <v>0</v>
      </c>
      <c r="Z40" s="81">
        <v>0</v>
      </c>
      <c r="AA40" s="81">
        <v>169.73686126516199</v>
      </c>
      <c r="AB40" s="81">
        <v>0</v>
      </c>
      <c r="AC40" s="81">
        <v>0</v>
      </c>
      <c r="AD40" s="81">
        <v>0</v>
      </c>
      <c r="AE40" s="81">
        <v>11.743017130769299</v>
      </c>
      <c r="AF40" s="81">
        <v>0</v>
      </c>
      <c r="AG40" s="81">
        <v>0</v>
      </c>
      <c r="AH40" s="81">
        <v>0</v>
      </c>
      <c r="AI40" s="81">
        <v>0</v>
      </c>
      <c r="AJ40" s="81">
        <v>0</v>
      </c>
      <c r="AK40" s="81">
        <v>0</v>
      </c>
      <c r="AL40" s="81">
        <v>0</v>
      </c>
      <c r="AM40" s="81">
        <v>0</v>
      </c>
      <c r="AN40" s="81">
        <v>180.57465387824701</v>
      </c>
      <c r="AO40" s="81">
        <v>0</v>
      </c>
      <c r="AP40" s="81">
        <v>0</v>
      </c>
      <c r="AQ40" s="81">
        <v>0</v>
      </c>
      <c r="AR40" s="81">
        <v>0</v>
      </c>
      <c r="AS40" s="81">
        <v>0</v>
      </c>
      <c r="AT40" s="82">
        <v>0</v>
      </c>
    </row>
    <row r="41" spans="2:46" ht="12" customHeight="1" x14ac:dyDescent="0.25">
      <c r="B41" s="80" t="s">
        <v>31</v>
      </c>
      <c r="C41" s="81" t="s">
        <v>78</v>
      </c>
      <c r="D41" s="81" t="s">
        <v>32</v>
      </c>
      <c r="E41" s="81" t="s">
        <v>25</v>
      </c>
      <c r="F41" s="81" t="s">
        <v>25</v>
      </c>
      <c r="G41" s="81" t="s">
        <v>25</v>
      </c>
      <c r="H41" s="81" t="s">
        <v>60</v>
      </c>
      <c r="I41" s="81" t="s">
        <v>25</v>
      </c>
      <c r="J41" s="81">
        <v>456.93</v>
      </c>
      <c r="K41" s="81">
        <v>180.57</v>
      </c>
      <c r="L41" s="81">
        <v>29.159080128657902</v>
      </c>
      <c r="M41" s="81">
        <v>2.1040497047593498</v>
      </c>
      <c r="N41" s="81">
        <v>0</v>
      </c>
      <c r="O41" s="81">
        <v>0</v>
      </c>
      <c r="P41" s="81">
        <v>0</v>
      </c>
      <c r="Q41" s="81">
        <v>83.547737182055599</v>
      </c>
      <c r="R41" s="81">
        <v>13.2167090985033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X41" s="81">
        <v>147.41868888331601</v>
      </c>
      <c r="Y41" s="81">
        <v>0</v>
      </c>
      <c r="Z41" s="81">
        <v>0</v>
      </c>
      <c r="AA41" s="81">
        <v>169.73686126516199</v>
      </c>
      <c r="AB41" s="81">
        <v>0</v>
      </c>
      <c r="AC41" s="81">
        <v>0</v>
      </c>
      <c r="AD41" s="81">
        <v>0</v>
      </c>
      <c r="AE41" s="81">
        <v>11.743017130769299</v>
      </c>
      <c r="AF41" s="81">
        <v>0</v>
      </c>
      <c r="AG41" s="81">
        <v>0</v>
      </c>
      <c r="AH41" s="81">
        <v>0</v>
      </c>
      <c r="AI41" s="81">
        <v>0</v>
      </c>
      <c r="AJ41" s="81">
        <v>0</v>
      </c>
      <c r="AK41" s="81">
        <v>0</v>
      </c>
      <c r="AL41" s="81">
        <v>0</v>
      </c>
      <c r="AM41" s="81">
        <v>0</v>
      </c>
      <c r="AN41" s="81">
        <v>180.57465387824701</v>
      </c>
      <c r="AO41" s="81">
        <v>0</v>
      </c>
      <c r="AP41" s="81">
        <v>0</v>
      </c>
      <c r="AQ41" s="81">
        <v>0</v>
      </c>
      <c r="AR41" s="81">
        <v>0</v>
      </c>
      <c r="AS41" s="81">
        <v>0</v>
      </c>
      <c r="AT41" s="82">
        <v>0</v>
      </c>
    </row>
    <row r="42" spans="2:46" ht="12" customHeight="1" x14ac:dyDescent="0.25">
      <c r="B42" s="80" t="s">
        <v>31</v>
      </c>
      <c r="C42" s="81" t="s">
        <v>78</v>
      </c>
      <c r="D42" s="81" t="s">
        <v>32</v>
      </c>
      <c r="E42" s="81" t="s">
        <v>80</v>
      </c>
      <c r="F42" s="81" t="s">
        <v>25</v>
      </c>
      <c r="G42" s="81" t="s">
        <v>25</v>
      </c>
      <c r="H42" s="81" t="s">
        <v>60</v>
      </c>
      <c r="I42" s="81" t="s">
        <v>25</v>
      </c>
      <c r="J42" s="81">
        <v>447.2</v>
      </c>
      <c r="K42" s="81">
        <v>176.73</v>
      </c>
      <c r="L42" s="81">
        <v>28.538674168473701</v>
      </c>
      <c r="M42" s="81">
        <v>2.05928268976447</v>
      </c>
      <c r="N42" s="81">
        <v>0</v>
      </c>
      <c r="O42" s="81">
        <v>0</v>
      </c>
      <c r="P42" s="81">
        <v>0</v>
      </c>
      <c r="Q42" s="81">
        <v>81.770125752650202</v>
      </c>
      <c r="R42" s="81">
        <v>12.9355025219394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X42" s="81">
        <v>144.28212103473501</v>
      </c>
      <c r="Y42" s="81">
        <v>0</v>
      </c>
      <c r="Z42" s="81">
        <v>0</v>
      </c>
      <c r="AA42" s="81">
        <v>166.12543868505199</v>
      </c>
      <c r="AB42" s="81">
        <v>0</v>
      </c>
      <c r="AC42" s="81">
        <v>0</v>
      </c>
      <c r="AD42" s="81">
        <v>0</v>
      </c>
      <c r="AE42" s="81">
        <v>11.4931657024551</v>
      </c>
      <c r="AF42" s="81">
        <v>0</v>
      </c>
      <c r="AG42" s="81">
        <v>0</v>
      </c>
      <c r="AH42" s="81">
        <v>0</v>
      </c>
      <c r="AI42" s="81">
        <v>0</v>
      </c>
      <c r="AJ42" s="81">
        <v>0</v>
      </c>
      <c r="AK42" s="81">
        <v>0</v>
      </c>
      <c r="AL42" s="81">
        <v>0</v>
      </c>
      <c r="AM42" s="81">
        <v>0</v>
      </c>
      <c r="AN42" s="81">
        <v>176.73263996594301</v>
      </c>
      <c r="AO42" s="81">
        <v>0</v>
      </c>
      <c r="AP42" s="81">
        <v>0</v>
      </c>
      <c r="AQ42" s="81">
        <v>0</v>
      </c>
      <c r="AR42" s="81">
        <v>0</v>
      </c>
      <c r="AS42" s="81">
        <v>0</v>
      </c>
      <c r="AT42" s="82">
        <v>0</v>
      </c>
    </row>
    <row r="43" spans="2:46" ht="12" customHeight="1" x14ac:dyDescent="0.25">
      <c r="B43" s="80" t="s">
        <v>28</v>
      </c>
      <c r="C43" s="81" t="s">
        <v>76</v>
      </c>
      <c r="D43" s="81" t="s">
        <v>25</v>
      </c>
      <c r="E43" s="81" t="s">
        <v>25</v>
      </c>
      <c r="F43" s="81" t="s">
        <v>25</v>
      </c>
      <c r="G43" s="81" t="s">
        <v>412</v>
      </c>
      <c r="H43" s="81" t="s">
        <v>60</v>
      </c>
      <c r="I43" s="81" t="s">
        <v>25</v>
      </c>
      <c r="J43" s="81">
        <v>1312.86</v>
      </c>
      <c r="K43" s="81">
        <v>192.1</v>
      </c>
      <c r="L43" s="81">
        <v>31.020298009210599</v>
      </c>
      <c r="M43" s="81">
        <v>2.2383507497439901</v>
      </c>
      <c r="N43" s="81">
        <v>0</v>
      </c>
      <c r="O43" s="81">
        <v>0</v>
      </c>
      <c r="P43" s="81">
        <v>0</v>
      </c>
      <c r="Q43" s="81">
        <v>88.880571470271903</v>
      </c>
      <c r="R43" s="81">
        <v>14.060328828195001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X43" s="81">
        <v>541.19338136623696</v>
      </c>
      <c r="Y43" s="81">
        <v>0</v>
      </c>
      <c r="Z43" s="81">
        <v>0</v>
      </c>
      <c r="AA43" s="81">
        <v>622.97020447355396</v>
      </c>
      <c r="AB43" s="81">
        <v>0</v>
      </c>
      <c r="AC43" s="81">
        <v>0</v>
      </c>
      <c r="AD43" s="81">
        <v>0</v>
      </c>
      <c r="AE43" s="81">
        <v>12.492571415712</v>
      </c>
      <c r="AF43" s="81">
        <v>0</v>
      </c>
      <c r="AG43" s="81">
        <v>0</v>
      </c>
      <c r="AH43" s="81">
        <v>0</v>
      </c>
      <c r="AI43" s="81">
        <v>0</v>
      </c>
      <c r="AJ43" s="81">
        <v>0</v>
      </c>
      <c r="AK43" s="81">
        <v>0</v>
      </c>
      <c r="AL43" s="81">
        <v>0</v>
      </c>
      <c r="AM43" s="81">
        <v>0</v>
      </c>
      <c r="AN43" s="81">
        <v>192.10069561515601</v>
      </c>
      <c r="AO43" s="81">
        <v>0</v>
      </c>
      <c r="AP43" s="81">
        <v>0</v>
      </c>
      <c r="AQ43" s="81">
        <v>0</v>
      </c>
      <c r="AR43" s="81">
        <v>0</v>
      </c>
      <c r="AS43" s="81">
        <v>0</v>
      </c>
      <c r="AT43" s="82">
        <v>0</v>
      </c>
    </row>
    <row r="44" spans="2:46" ht="12" customHeight="1" x14ac:dyDescent="0.25">
      <c r="B44" s="80" t="s">
        <v>28</v>
      </c>
      <c r="C44" s="81" t="s">
        <v>76</v>
      </c>
      <c r="D44" s="81" t="s">
        <v>25</v>
      </c>
      <c r="E44" s="81" t="s">
        <v>25</v>
      </c>
      <c r="F44" s="81" t="s">
        <v>25</v>
      </c>
      <c r="G44" s="81" t="s">
        <v>409</v>
      </c>
      <c r="H44" s="81" t="s">
        <v>60</v>
      </c>
      <c r="I44" s="81" t="s">
        <v>25</v>
      </c>
      <c r="J44" s="81">
        <v>847.13</v>
      </c>
      <c r="K44" s="81">
        <v>192.1</v>
      </c>
      <c r="L44" s="81">
        <v>31.020298009210599</v>
      </c>
      <c r="M44" s="81">
        <v>2.2383507497439901</v>
      </c>
      <c r="N44" s="81">
        <v>0</v>
      </c>
      <c r="O44" s="81">
        <v>0</v>
      </c>
      <c r="P44" s="81">
        <v>0</v>
      </c>
      <c r="Q44" s="81">
        <v>88.880571470271903</v>
      </c>
      <c r="R44" s="81">
        <v>14.060328828195001</v>
      </c>
      <c r="S44" s="81">
        <v>0</v>
      </c>
      <c r="T44" s="81">
        <v>0</v>
      </c>
      <c r="U44" s="81">
        <v>0</v>
      </c>
      <c r="V44" s="81">
        <v>0</v>
      </c>
      <c r="W44" s="81">
        <v>0</v>
      </c>
      <c r="X44" s="81">
        <v>324.65401843079098</v>
      </c>
      <c r="Y44" s="81">
        <v>0</v>
      </c>
      <c r="Z44" s="81">
        <v>0</v>
      </c>
      <c r="AA44" s="81">
        <v>373.78209835280597</v>
      </c>
      <c r="AB44" s="81">
        <v>0</v>
      </c>
      <c r="AC44" s="81">
        <v>0</v>
      </c>
      <c r="AD44" s="81">
        <v>0</v>
      </c>
      <c r="AE44" s="81">
        <v>12.492571415712</v>
      </c>
      <c r="AF44" s="81">
        <v>0</v>
      </c>
      <c r="AG44" s="81">
        <v>0</v>
      </c>
      <c r="AH44" s="81">
        <v>0</v>
      </c>
      <c r="AI44" s="81">
        <v>0</v>
      </c>
      <c r="AJ44" s="81">
        <v>0</v>
      </c>
      <c r="AK44" s="81">
        <v>0</v>
      </c>
      <c r="AL44" s="81">
        <v>0</v>
      </c>
      <c r="AM44" s="81">
        <v>0</v>
      </c>
      <c r="AN44" s="81">
        <v>192.10069561515601</v>
      </c>
      <c r="AO44" s="81">
        <v>0</v>
      </c>
      <c r="AP44" s="81">
        <v>0</v>
      </c>
      <c r="AQ44" s="81">
        <v>0</v>
      </c>
      <c r="AR44" s="81">
        <v>0</v>
      </c>
      <c r="AS44" s="81">
        <v>0</v>
      </c>
      <c r="AT44" s="82">
        <v>0</v>
      </c>
    </row>
    <row r="45" spans="2:46" ht="12" customHeight="1" x14ac:dyDescent="0.25">
      <c r="B45" s="80" t="s">
        <v>28</v>
      </c>
      <c r="C45" s="81" t="s">
        <v>76</v>
      </c>
      <c r="D45" s="81" t="s">
        <v>25</v>
      </c>
      <c r="E45" s="81" t="s">
        <v>25</v>
      </c>
      <c r="F45" s="81" t="s">
        <v>25</v>
      </c>
      <c r="G45" s="81" t="s">
        <v>414</v>
      </c>
      <c r="H45" s="81" t="s">
        <v>60</v>
      </c>
      <c r="I45" s="81" t="s">
        <v>25</v>
      </c>
      <c r="J45" s="81">
        <v>381.48</v>
      </c>
      <c r="K45" s="81">
        <v>192.1</v>
      </c>
      <c r="L45" s="81">
        <v>31.020298009210599</v>
      </c>
      <c r="M45" s="81">
        <v>2.2383507497439901</v>
      </c>
      <c r="N45" s="81">
        <v>0</v>
      </c>
      <c r="O45" s="81">
        <v>0</v>
      </c>
      <c r="P45" s="81">
        <v>0</v>
      </c>
      <c r="Q45" s="81">
        <v>88.880571470271903</v>
      </c>
      <c r="R45" s="81">
        <v>14.060328828195001</v>
      </c>
      <c r="S45" s="81">
        <v>0</v>
      </c>
      <c r="T45" s="81">
        <v>0</v>
      </c>
      <c r="U45" s="81">
        <v>0</v>
      </c>
      <c r="V45" s="81">
        <v>0</v>
      </c>
      <c r="W45" s="81">
        <v>0</v>
      </c>
      <c r="X45" s="81">
        <v>108.19222568668999</v>
      </c>
      <c r="Y45" s="81">
        <v>0</v>
      </c>
      <c r="Z45" s="81">
        <v>0</v>
      </c>
      <c r="AA45" s="81">
        <v>124.594154440902</v>
      </c>
      <c r="AB45" s="81">
        <v>0</v>
      </c>
      <c r="AC45" s="81">
        <v>0</v>
      </c>
      <c r="AD45" s="81">
        <v>0</v>
      </c>
      <c r="AE45" s="81">
        <v>12.492571415712</v>
      </c>
      <c r="AF45" s="81">
        <v>0</v>
      </c>
      <c r="AG45" s="81">
        <v>0</v>
      </c>
      <c r="AH45" s="81">
        <v>0</v>
      </c>
      <c r="AI45" s="81">
        <v>0</v>
      </c>
      <c r="AJ45" s="81">
        <v>0</v>
      </c>
      <c r="AK45" s="81">
        <v>0</v>
      </c>
      <c r="AL45" s="81">
        <v>0</v>
      </c>
      <c r="AM45" s="81">
        <v>0</v>
      </c>
      <c r="AN45" s="81">
        <v>192.10069561515601</v>
      </c>
      <c r="AO45" s="81">
        <v>0</v>
      </c>
      <c r="AP45" s="81">
        <v>0</v>
      </c>
      <c r="AQ45" s="81">
        <v>0</v>
      </c>
      <c r="AR45" s="81">
        <v>0</v>
      </c>
      <c r="AS45" s="81">
        <v>0</v>
      </c>
      <c r="AT45" s="82">
        <v>0</v>
      </c>
    </row>
    <row r="46" spans="2:46" ht="12" customHeight="1" x14ac:dyDescent="0.25">
      <c r="B46" s="80" t="s">
        <v>28</v>
      </c>
      <c r="C46" s="81" t="s">
        <v>23</v>
      </c>
      <c r="D46" s="81" t="s">
        <v>25</v>
      </c>
      <c r="E46" s="81" t="s">
        <v>25</v>
      </c>
      <c r="F46" s="81" t="s">
        <v>25</v>
      </c>
      <c r="G46" s="81" t="s">
        <v>25</v>
      </c>
      <c r="H46" s="81" t="s">
        <v>60</v>
      </c>
      <c r="I46" s="81" t="s">
        <v>25</v>
      </c>
      <c r="J46" s="81">
        <v>486.09</v>
      </c>
      <c r="K46" s="81">
        <v>192.1</v>
      </c>
      <c r="L46" s="81">
        <v>31.020298009210599</v>
      </c>
      <c r="M46" s="81">
        <v>2.2383507497439901</v>
      </c>
      <c r="N46" s="81">
        <v>0</v>
      </c>
      <c r="O46" s="81">
        <v>0</v>
      </c>
      <c r="P46" s="81">
        <v>0</v>
      </c>
      <c r="Q46" s="81">
        <v>88.880571470271903</v>
      </c>
      <c r="R46" s="81">
        <v>14.060328828195001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X46" s="81">
        <v>156.82839242905999</v>
      </c>
      <c r="Y46" s="81">
        <v>0</v>
      </c>
      <c r="Z46" s="81">
        <v>0</v>
      </c>
      <c r="AA46" s="81">
        <v>180.571129005492</v>
      </c>
      <c r="AB46" s="81">
        <v>0</v>
      </c>
      <c r="AC46" s="81">
        <v>0</v>
      </c>
      <c r="AD46" s="81">
        <v>0</v>
      </c>
      <c r="AE46" s="81">
        <v>12.492571415712</v>
      </c>
      <c r="AF46" s="81">
        <v>0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192.10069561515601</v>
      </c>
      <c r="AO46" s="81">
        <v>0</v>
      </c>
      <c r="AP46" s="81">
        <v>0</v>
      </c>
      <c r="AQ46" s="81">
        <v>0</v>
      </c>
      <c r="AR46" s="81">
        <v>0</v>
      </c>
      <c r="AS46" s="81">
        <v>0</v>
      </c>
      <c r="AT46" s="82">
        <v>0</v>
      </c>
    </row>
    <row r="47" spans="2:46" ht="12" customHeight="1" x14ac:dyDescent="0.25">
      <c r="B47" s="80" t="s">
        <v>28</v>
      </c>
      <c r="C47" s="81" t="s">
        <v>78</v>
      </c>
      <c r="D47" s="81" t="s">
        <v>25</v>
      </c>
      <c r="E47" s="81" t="s">
        <v>25</v>
      </c>
      <c r="F47" s="81" t="s">
        <v>25</v>
      </c>
      <c r="G47" s="81" t="s">
        <v>25</v>
      </c>
      <c r="H47" s="81" t="s">
        <v>60</v>
      </c>
      <c r="I47" s="81" t="s">
        <v>25</v>
      </c>
      <c r="J47" s="81">
        <v>486.09</v>
      </c>
      <c r="K47" s="81">
        <v>192.1</v>
      </c>
      <c r="L47" s="81">
        <v>31.020298009210599</v>
      </c>
      <c r="M47" s="81">
        <v>2.2383507497439901</v>
      </c>
      <c r="N47" s="81">
        <v>0</v>
      </c>
      <c r="O47" s="81">
        <v>0</v>
      </c>
      <c r="P47" s="81">
        <v>0</v>
      </c>
      <c r="Q47" s="81">
        <v>88.880571470271903</v>
      </c>
      <c r="R47" s="81">
        <v>14.060328828195001</v>
      </c>
      <c r="S47" s="81">
        <v>0</v>
      </c>
      <c r="T47" s="81">
        <v>0</v>
      </c>
      <c r="U47" s="81">
        <v>0</v>
      </c>
      <c r="V47" s="81">
        <v>0</v>
      </c>
      <c r="W47" s="81">
        <v>0</v>
      </c>
      <c r="X47" s="81">
        <v>156.82839242905999</v>
      </c>
      <c r="Y47" s="81">
        <v>0</v>
      </c>
      <c r="Z47" s="81">
        <v>0</v>
      </c>
      <c r="AA47" s="81">
        <v>180.571129005492</v>
      </c>
      <c r="AB47" s="81">
        <v>0</v>
      </c>
      <c r="AC47" s="81">
        <v>0</v>
      </c>
      <c r="AD47" s="81">
        <v>0</v>
      </c>
      <c r="AE47" s="81">
        <v>12.492571415712</v>
      </c>
      <c r="AF47" s="81">
        <v>0</v>
      </c>
      <c r="AG47" s="81">
        <v>0</v>
      </c>
      <c r="AH47" s="81">
        <v>0</v>
      </c>
      <c r="AI47" s="81">
        <v>0</v>
      </c>
      <c r="AJ47" s="81">
        <v>0</v>
      </c>
      <c r="AK47" s="81">
        <v>0</v>
      </c>
      <c r="AL47" s="81">
        <v>0</v>
      </c>
      <c r="AM47" s="81">
        <v>0</v>
      </c>
      <c r="AN47" s="81">
        <v>192.10069561515601</v>
      </c>
      <c r="AO47" s="81">
        <v>0</v>
      </c>
      <c r="AP47" s="81">
        <v>0</v>
      </c>
      <c r="AQ47" s="81">
        <v>0</v>
      </c>
      <c r="AR47" s="81">
        <v>0</v>
      </c>
      <c r="AS47" s="81">
        <v>0</v>
      </c>
      <c r="AT47" s="82">
        <v>0</v>
      </c>
    </row>
    <row r="48" spans="2:46" ht="12" customHeight="1" x14ac:dyDescent="0.25">
      <c r="B48" s="80" t="s">
        <v>34</v>
      </c>
      <c r="C48" s="81" t="s">
        <v>23</v>
      </c>
      <c r="D48" s="81" t="s">
        <v>35</v>
      </c>
      <c r="E48" s="81" t="s">
        <v>36</v>
      </c>
      <c r="F48" s="81" t="s">
        <v>25</v>
      </c>
      <c r="G48" s="81" t="s">
        <v>25</v>
      </c>
      <c r="H48" s="81" t="s">
        <v>60</v>
      </c>
      <c r="I48" s="81" t="s">
        <v>25</v>
      </c>
      <c r="J48" s="81">
        <v>267.35000000000002</v>
      </c>
      <c r="K48" s="81">
        <v>105.66</v>
      </c>
      <c r="L48" s="81">
        <v>17.061163905065801</v>
      </c>
      <c r="M48" s="81">
        <v>1.2310929123591901</v>
      </c>
      <c r="N48" s="81">
        <v>0</v>
      </c>
      <c r="O48" s="81">
        <v>0</v>
      </c>
      <c r="P48" s="81">
        <v>0</v>
      </c>
      <c r="Q48" s="81">
        <v>48.8843143086496</v>
      </c>
      <c r="R48" s="81">
        <v>7.7331808555072499</v>
      </c>
      <c r="S48" s="81">
        <v>0</v>
      </c>
      <c r="T48" s="81">
        <v>0</v>
      </c>
      <c r="U48" s="81">
        <v>0</v>
      </c>
      <c r="V48" s="81">
        <v>0</v>
      </c>
      <c r="W48" s="81">
        <v>0</v>
      </c>
      <c r="X48" s="81">
        <v>86.255615835982795</v>
      </c>
      <c r="Y48" s="81">
        <v>0</v>
      </c>
      <c r="Z48" s="81">
        <v>0</v>
      </c>
      <c r="AA48" s="81">
        <v>99.314120953020407</v>
      </c>
      <c r="AB48" s="81">
        <v>0</v>
      </c>
      <c r="AC48" s="81">
        <v>0</v>
      </c>
      <c r="AD48" s="81">
        <v>0</v>
      </c>
      <c r="AE48" s="81">
        <v>6.87091427864162</v>
      </c>
      <c r="AF48" s="81">
        <v>0</v>
      </c>
      <c r="AG48" s="81">
        <v>0</v>
      </c>
      <c r="AH48" s="81">
        <v>0</v>
      </c>
      <c r="AI48" s="81">
        <v>0</v>
      </c>
      <c r="AJ48" s="81">
        <v>0</v>
      </c>
      <c r="AK48" s="81">
        <v>0</v>
      </c>
      <c r="AL48" s="81">
        <v>0</v>
      </c>
      <c r="AM48" s="81">
        <v>0</v>
      </c>
      <c r="AN48" s="81">
        <v>105.655382588336</v>
      </c>
      <c r="AO48" s="81">
        <v>0</v>
      </c>
      <c r="AP48" s="81">
        <v>0</v>
      </c>
      <c r="AQ48" s="81">
        <v>0</v>
      </c>
      <c r="AR48" s="81">
        <v>0</v>
      </c>
      <c r="AS48" s="81">
        <v>0</v>
      </c>
      <c r="AT48" s="82">
        <v>0</v>
      </c>
    </row>
    <row r="49" spans="2:46" ht="12" customHeight="1" x14ac:dyDescent="0.25">
      <c r="B49" s="83" t="s">
        <v>34</v>
      </c>
      <c r="C49" s="84" t="s">
        <v>23</v>
      </c>
      <c r="D49" s="84" t="s">
        <v>35</v>
      </c>
      <c r="E49" s="84" t="s">
        <v>81</v>
      </c>
      <c r="F49" s="84" t="s">
        <v>25</v>
      </c>
      <c r="G49" s="84" t="s">
        <v>25</v>
      </c>
      <c r="H49" s="84" t="s">
        <v>60</v>
      </c>
      <c r="I49" s="84" t="s">
        <v>25</v>
      </c>
      <c r="J49" s="84">
        <v>291.64999999999998</v>
      </c>
      <c r="K49" s="84">
        <v>115.26</v>
      </c>
      <c r="L49" s="84">
        <v>18.612178805526302</v>
      </c>
      <c r="M49" s="84">
        <v>1.34301044984639</v>
      </c>
      <c r="N49" s="84">
        <v>0</v>
      </c>
      <c r="O49" s="84">
        <v>0</v>
      </c>
      <c r="P49" s="84">
        <v>0</v>
      </c>
      <c r="Q49" s="84">
        <v>53.328342882163099</v>
      </c>
      <c r="R49" s="84">
        <v>8.4361972969169994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94.097035457435794</v>
      </c>
      <c r="Y49" s="84">
        <v>0</v>
      </c>
      <c r="Z49" s="84">
        <v>0</v>
      </c>
      <c r="AA49" s="84">
        <v>108.342677403295</v>
      </c>
      <c r="AB49" s="84">
        <v>0</v>
      </c>
      <c r="AC49" s="84">
        <v>0</v>
      </c>
      <c r="AD49" s="84">
        <v>0</v>
      </c>
      <c r="AE49" s="84">
        <v>7.4955428494272196</v>
      </c>
      <c r="AF49" s="84">
        <v>0</v>
      </c>
      <c r="AG49" s="84">
        <v>0</v>
      </c>
      <c r="AH49" s="84">
        <v>0</v>
      </c>
      <c r="AI49" s="84">
        <v>0</v>
      </c>
      <c r="AJ49" s="84">
        <v>0</v>
      </c>
      <c r="AK49" s="84">
        <v>0</v>
      </c>
      <c r="AL49" s="84">
        <v>0</v>
      </c>
      <c r="AM49" s="84">
        <v>0</v>
      </c>
      <c r="AN49" s="84">
        <v>115.260417369094</v>
      </c>
      <c r="AO49" s="84">
        <v>0</v>
      </c>
      <c r="AP49" s="84">
        <v>0</v>
      </c>
      <c r="AQ49" s="84">
        <v>0</v>
      </c>
      <c r="AR49" s="84">
        <v>0</v>
      </c>
      <c r="AS49" s="84">
        <v>0</v>
      </c>
      <c r="AT49" s="85">
        <v>0</v>
      </c>
    </row>
  </sheetData>
  <mergeCells count="8">
    <mergeCell ref="L1:AH1"/>
    <mergeCell ref="AI1:AT1"/>
    <mergeCell ref="L2:S2"/>
    <mergeCell ref="T2:Z2"/>
    <mergeCell ref="AB2:AD2"/>
    <mergeCell ref="AE2:AH2"/>
    <mergeCell ref="AI2:AM2"/>
    <mergeCell ref="AO2:AS2"/>
  </mergeCells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ECD4-3C95-4A42-AC2F-8BF8D9FAF294}">
  <sheetPr codeName="Planilha28"/>
  <dimension ref="B1:AT49"/>
  <sheetViews>
    <sheetView showGridLines="0" workbookViewId="0">
      <selection activeCell="B4" sqref="B4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25" bestFit="1" customWidth="1"/>
    <col min="30" max="30" width="14.42578125" bestFit="1" customWidth="1"/>
    <col min="31" max="31" width="12" bestFit="1" customWidth="1"/>
    <col min="32" max="32" width="17.7109375" bestFit="1" customWidth="1"/>
    <col min="33" max="33" width="12.5703125" bestFit="1" customWidth="1"/>
    <col min="34" max="34" width="10.7109375" bestFit="1" customWidth="1"/>
    <col min="35" max="35" width="16.5703125" bestFit="1" customWidth="1"/>
    <col min="36" max="36" width="14.5703125" bestFit="1" customWidth="1"/>
    <col min="37" max="37" width="9.85546875" bestFit="1" customWidth="1"/>
    <col min="38" max="38" width="12.5703125" bestFit="1" customWidth="1"/>
    <col min="39" max="39" width="12.28515625" bestFit="1" customWidth="1"/>
    <col min="40" max="40" width="14.140625" bestFit="1" customWidth="1"/>
    <col min="41" max="41" width="25.28515625" bestFit="1" customWidth="1"/>
    <col min="42" max="42" width="17.85546875" bestFit="1" customWidth="1"/>
    <col min="43" max="43" width="13.42578125" bestFit="1" customWidth="1"/>
    <col min="44" max="44" width="13.28515625" bestFit="1" customWidth="1"/>
    <col min="45" max="45" width="22.140625" bestFit="1" customWidth="1"/>
    <col min="46" max="46" width="12.5703125" bestFit="1" customWidth="1"/>
  </cols>
  <sheetData>
    <row r="1" spans="2:46" ht="12" customHeight="1" x14ac:dyDescent="0.25">
      <c r="L1" s="122" t="s">
        <v>943</v>
      </c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  <c r="AI1" s="122" t="s">
        <v>944</v>
      </c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</row>
    <row r="2" spans="2:46" ht="12" customHeight="1" x14ac:dyDescent="0.25">
      <c r="L2" s="124" t="s">
        <v>264</v>
      </c>
      <c r="M2" s="124"/>
      <c r="N2" s="124"/>
      <c r="O2" s="124"/>
      <c r="P2" s="124"/>
      <c r="Q2" s="124"/>
      <c r="R2" s="124"/>
      <c r="S2" s="125"/>
      <c r="T2" s="124" t="s">
        <v>273</v>
      </c>
      <c r="U2" s="124"/>
      <c r="V2" s="124"/>
      <c r="W2" s="124"/>
      <c r="X2" s="124"/>
      <c r="Y2" s="124"/>
      <c r="Z2" s="125"/>
      <c r="AA2" s="87" t="s">
        <v>281</v>
      </c>
      <c r="AB2" s="124" t="s">
        <v>25</v>
      </c>
      <c r="AC2" s="124"/>
      <c r="AD2" s="125"/>
      <c r="AE2" s="124" t="s">
        <v>942</v>
      </c>
      <c r="AF2" s="124"/>
      <c r="AG2" s="124"/>
      <c r="AH2" s="125"/>
      <c r="AI2" s="124" t="s">
        <v>264</v>
      </c>
      <c r="AJ2" s="124"/>
      <c r="AK2" s="124"/>
      <c r="AL2" s="124"/>
      <c r="AM2" s="125"/>
      <c r="AN2" s="87" t="s">
        <v>295</v>
      </c>
      <c r="AO2" s="124" t="s">
        <v>273</v>
      </c>
      <c r="AP2" s="124"/>
      <c r="AQ2" s="124"/>
      <c r="AR2" s="124"/>
      <c r="AS2" s="125"/>
      <c r="AT2" s="86" t="s">
        <v>942</v>
      </c>
    </row>
    <row r="3" spans="2:46" ht="12" customHeight="1" x14ac:dyDescent="0.25">
      <c r="B3" s="77" t="s">
        <v>49</v>
      </c>
      <c r="C3" s="78" t="s">
        <v>50</v>
      </c>
      <c r="D3" s="78" t="s">
        <v>51</v>
      </c>
      <c r="E3" s="78" t="s">
        <v>52</v>
      </c>
      <c r="F3" s="78" t="s">
        <v>53</v>
      </c>
      <c r="G3" s="78" t="s">
        <v>55</v>
      </c>
      <c r="H3" s="78" t="s">
        <v>56</v>
      </c>
      <c r="I3" s="78" t="s">
        <v>545</v>
      </c>
      <c r="J3" s="78" t="s">
        <v>904</v>
      </c>
      <c r="K3" s="78" t="s">
        <v>905</v>
      </c>
      <c r="L3" s="78" t="s">
        <v>906</v>
      </c>
      <c r="M3" s="78" t="s">
        <v>907</v>
      </c>
      <c r="N3" s="78" t="s">
        <v>908</v>
      </c>
      <c r="O3" s="78" t="s">
        <v>909</v>
      </c>
      <c r="P3" s="78" t="s">
        <v>910</v>
      </c>
      <c r="Q3" s="78" t="s">
        <v>911</v>
      </c>
      <c r="R3" s="78" t="s">
        <v>912</v>
      </c>
      <c r="S3" s="78" t="s">
        <v>913</v>
      </c>
      <c r="T3" s="78" t="s">
        <v>914</v>
      </c>
      <c r="U3" s="78" t="s">
        <v>915</v>
      </c>
      <c r="V3" s="78" t="s">
        <v>916</v>
      </c>
      <c r="W3" s="78" t="s">
        <v>917</v>
      </c>
      <c r="X3" s="78" t="s">
        <v>918</v>
      </c>
      <c r="Y3" s="78" t="s">
        <v>919</v>
      </c>
      <c r="Z3" s="78" t="s">
        <v>920</v>
      </c>
      <c r="AA3" s="78" t="s">
        <v>921</v>
      </c>
      <c r="AB3" s="78" t="s">
        <v>922</v>
      </c>
      <c r="AC3" s="78" t="s">
        <v>923</v>
      </c>
      <c r="AD3" s="78" t="s">
        <v>924</v>
      </c>
      <c r="AE3" s="78" t="s">
        <v>925</v>
      </c>
      <c r="AF3" s="78" t="s">
        <v>926</v>
      </c>
      <c r="AG3" s="78" t="s">
        <v>927</v>
      </c>
      <c r="AH3" s="78" t="s">
        <v>928</v>
      </c>
      <c r="AI3" s="78" t="s">
        <v>929</v>
      </c>
      <c r="AJ3" s="78" t="s">
        <v>930</v>
      </c>
      <c r="AK3" s="78" t="s">
        <v>931</v>
      </c>
      <c r="AL3" s="78" t="s">
        <v>932</v>
      </c>
      <c r="AM3" s="78" t="s">
        <v>933</v>
      </c>
      <c r="AN3" s="78" t="s">
        <v>934</v>
      </c>
      <c r="AO3" s="78" t="s">
        <v>935</v>
      </c>
      <c r="AP3" s="78" t="s">
        <v>936</v>
      </c>
      <c r="AQ3" s="78" t="s">
        <v>937</v>
      </c>
      <c r="AR3" s="78" t="s">
        <v>938</v>
      </c>
      <c r="AS3" s="78" t="s">
        <v>939</v>
      </c>
      <c r="AT3" s="79" t="s">
        <v>940</v>
      </c>
    </row>
    <row r="4" spans="2:46" ht="12" customHeight="1" x14ac:dyDescent="0.25">
      <c r="B4" s="80" t="s">
        <v>58</v>
      </c>
      <c r="C4" s="81" t="s">
        <v>63</v>
      </c>
      <c r="D4" s="81" t="s">
        <v>25</v>
      </c>
      <c r="E4" s="81" t="s">
        <v>25</v>
      </c>
      <c r="F4" s="81" t="s">
        <v>68</v>
      </c>
      <c r="G4" s="81" t="s">
        <v>412</v>
      </c>
      <c r="H4" s="81" t="s">
        <v>60</v>
      </c>
      <c r="I4" s="81" t="s">
        <v>25</v>
      </c>
      <c r="J4" s="81">
        <v>9.64</v>
      </c>
      <c r="K4" s="81">
        <v>0</v>
      </c>
      <c r="L4" s="81">
        <v>0</v>
      </c>
      <c r="M4" s="81">
        <v>4.5826285057934903</v>
      </c>
      <c r="N4" s="81">
        <v>0</v>
      </c>
      <c r="O4" s="81">
        <v>0</v>
      </c>
      <c r="P4" s="81">
        <v>0</v>
      </c>
      <c r="Q4" s="81">
        <v>0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81">
        <v>5.0617903494687804</v>
      </c>
      <c r="AF4" s="81">
        <v>0</v>
      </c>
      <c r="AG4" s="81">
        <v>0</v>
      </c>
      <c r="AH4" s="81">
        <v>0</v>
      </c>
      <c r="AI4" s="81">
        <v>0</v>
      </c>
      <c r="AJ4" s="81">
        <v>0</v>
      </c>
      <c r="AK4" s="81">
        <v>0</v>
      </c>
      <c r="AL4" s="81">
        <v>0</v>
      </c>
      <c r="AM4" s="81">
        <v>0</v>
      </c>
      <c r="AN4" s="81">
        <v>0</v>
      </c>
      <c r="AO4" s="81">
        <v>0</v>
      </c>
      <c r="AP4" s="81">
        <v>0</v>
      </c>
      <c r="AQ4" s="81">
        <v>0</v>
      </c>
      <c r="AR4" s="81">
        <v>0</v>
      </c>
      <c r="AS4" s="81">
        <v>0</v>
      </c>
      <c r="AT4" s="82">
        <v>0</v>
      </c>
    </row>
    <row r="5" spans="2:46" ht="12" customHeight="1" x14ac:dyDescent="0.25">
      <c r="B5" s="80" t="s">
        <v>58</v>
      </c>
      <c r="C5" s="81" t="s">
        <v>63</v>
      </c>
      <c r="D5" s="81" t="s">
        <v>25</v>
      </c>
      <c r="E5" s="81" t="s">
        <v>25</v>
      </c>
      <c r="F5" s="81" t="s">
        <v>68</v>
      </c>
      <c r="G5" s="81" t="s">
        <v>412</v>
      </c>
      <c r="H5" s="81" t="s">
        <v>64</v>
      </c>
      <c r="I5" s="81" t="s">
        <v>25</v>
      </c>
      <c r="J5" s="81">
        <v>168.51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1">
        <v>0</v>
      </c>
      <c r="X5" s="81">
        <v>48.949900337325502</v>
      </c>
      <c r="Y5" s="81">
        <v>0</v>
      </c>
      <c r="Z5" s="81">
        <v>0</v>
      </c>
      <c r="AA5" s="81">
        <v>119.561691515303</v>
      </c>
      <c r="AB5" s="81">
        <v>0</v>
      </c>
      <c r="AC5" s="81">
        <v>0</v>
      </c>
      <c r="AD5" s="81">
        <v>0</v>
      </c>
      <c r="AE5" s="81">
        <v>0</v>
      </c>
      <c r="AF5" s="81">
        <v>0</v>
      </c>
      <c r="AG5" s="81">
        <v>0</v>
      </c>
      <c r="AH5" s="81">
        <v>0</v>
      </c>
      <c r="AI5" s="81">
        <v>0</v>
      </c>
      <c r="AJ5" s="81">
        <v>0</v>
      </c>
      <c r="AK5" s="81">
        <v>0</v>
      </c>
      <c r="AL5" s="81">
        <v>0</v>
      </c>
      <c r="AM5" s="81">
        <v>0</v>
      </c>
      <c r="AN5" s="81">
        <v>0</v>
      </c>
      <c r="AO5" s="81">
        <v>0</v>
      </c>
      <c r="AP5" s="81">
        <v>0</v>
      </c>
      <c r="AQ5" s="81">
        <v>0</v>
      </c>
      <c r="AR5" s="81">
        <v>0</v>
      </c>
      <c r="AS5" s="81">
        <v>0</v>
      </c>
      <c r="AT5" s="82">
        <v>0</v>
      </c>
    </row>
    <row r="6" spans="2:46" ht="12" customHeight="1" x14ac:dyDescent="0.25">
      <c r="B6" s="80" t="s">
        <v>58</v>
      </c>
      <c r="C6" s="81" t="s">
        <v>63</v>
      </c>
      <c r="D6" s="81" t="s">
        <v>25</v>
      </c>
      <c r="E6" s="81" t="s">
        <v>25</v>
      </c>
      <c r="F6" s="81" t="s">
        <v>68</v>
      </c>
      <c r="G6" s="81" t="s">
        <v>414</v>
      </c>
      <c r="H6" s="81" t="s">
        <v>60</v>
      </c>
      <c r="I6" s="81" t="s">
        <v>25</v>
      </c>
      <c r="J6" s="81">
        <v>9.64</v>
      </c>
      <c r="K6" s="81">
        <v>0</v>
      </c>
      <c r="L6" s="81">
        <v>0</v>
      </c>
      <c r="M6" s="81">
        <v>4.5826285057934903</v>
      </c>
      <c r="N6" s="81">
        <v>0</v>
      </c>
      <c r="O6" s="81">
        <v>0</v>
      </c>
      <c r="P6" s="81">
        <v>0</v>
      </c>
      <c r="Q6" s="81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  <c r="AB6" s="81">
        <v>0</v>
      </c>
      <c r="AC6" s="81">
        <v>0</v>
      </c>
      <c r="AD6" s="81">
        <v>0</v>
      </c>
      <c r="AE6" s="81">
        <v>5.0617903494687804</v>
      </c>
      <c r="AF6" s="81">
        <v>0</v>
      </c>
      <c r="AG6" s="81">
        <v>0</v>
      </c>
      <c r="AH6" s="81">
        <v>0</v>
      </c>
      <c r="AI6" s="81">
        <v>0</v>
      </c>
      <c r="AJ6" s="81">
        <v>0</v>
      </c>
      <c r="AK6" s="81">
        <v>0</v>
      </c>
      <c r="AL6" s="81">
        <v>0</v>
      </c>
      <c r="AM6" s="81">
        <v>0</v>
      </c>
      <c r="AN6" s="81">
        <v>0</v>
      </c>
      <c r="AO6" s="81">
        <v>0</v>
      </c>
      <c r="AP6" s="81">
        <v>0</v>
      </c>
      <c r="AQ6" s="81">
        <v>0</v>
      </c>
      <c r="AR6" s="81">
        <v>0</v>
      </c>
      <c r="AS6" s="81">
        <v>0</v>
      </c>
      <c r="AT6" s="82">
        <v>0</v>
      </c>
    </row>
    <row r="7" spans="2:46" ht="12" customHeight="1" x14ac:dyDescent="0.25">
      <c r="B7" s="80" t="s">
        <v>58</v>
      </c>
      <c r="C7" s="81" t="s">
        <v>63</v>
      </c>
      <c r="D7" s="81" t="s">
        <v>25</v>
      </c>
      <c r="E7" s="81" t="s">
        <v>25</v>
      </c>
      <c r="F7" s="81" t="s">
        <v>68</v>
      </c>
      <c r="G7" s="81" t="s">
        <v>414</v>
      </c>
      <c r="H7" s="81" t="s">
        <v>64</v>
      </c>
      <c r="I7" s="81" t="s">
        <v>25</v>
      </c>
      <c r="J7" s="81">
        <v>53.19</v>
      </c>
      <c r="K7" s="81">
        <v>0</v>
      </c>
      <c r="L7" s="81">
        <v>0</v>
      </c>
      <c r="M7" s="81">
        <v>0</v>
      </c>
      <c r="N7" s="81">
        <v>0</v>
      </c>
      <c r="O7" s="81">
        <v>0</v>
      </c>
      <c r="P7" s="81">
        <v>0</v>
      </c>
      <c r="Q7" s="81">
        <v>0</v>
      </c>
      <c r="R7" s="81">
        <v>0</v>
      </c>
      <c r="S7" s="81">
        <v>0</v>
      </c>
      <c r="T7" s="81">
        <v>0</v>
      </c>
      <c r="U7" s="81">
        <v>0</v>
      </c>
      <c r="V7" s="81">
        <v>0</v>
      </c>
      <c r="W7" s="81">
        <v>0</v>
      </c>
      <c r="X7" s="81">
        <v>19.7849524857353</v>
      </c>
      <c r="Y7" s="81">
        <v>0</v>
      </c>
      <c r="Z7" s="81">
        <v>0</v>
      </c>
      <c r="AA7" s="81">
        <v>33.409536429490501</v>
      </c>
      <c r="AB7" s="81">
        <v>0</v>
      </c>
      <c r="AC7" s="81">
        <v>0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1">
        <v>0</v>
      </c>
      <c r="AJ7" s="81">
        <v>0</v>
      </c>
      <c r="AK7" s="81">
        <v>0</v>
      </c>
      <c r="AL7" s="81">
        <v>0</v>
      </c>
      <c r="AM7" s="81">
        <v>0</v>
      </c>
      <c r="AN7" s="81">
        <v>0</v>
      </c>
      <c r="AO7" s="81">
        <v>0</v>
      </c>
      <c r="AP7" s="81">
        <v>0</v>
      </c>
      <c r="AQ7" s="81">
        <v>0</v>
      </c>
      <c r="AR7" s="81">
        <v>0</v>
      </c>
      <c r="AS7" s="81">
        <v>0</v>
      </c>
      <c r="AT7" s="82">
        <v>0</v>
      </c>
    </row>
    <row r="8" spans="2:46" ht="12" customHeight="1" x14ac:dyDescent="0.25">
      <c r="B8" s="80" t="s">
        <v>58</v>
      </c>
      <c r="C8" s="81" t="s">
        <v>63</v>
      </c>
      <c r="D8" s="81" t="s">
        <v>25</v>
      </c>
      <c r="E8" s="81" t="s">
        <v>25</v>
      </c>
      <c r="F8" s="81" t="s">
        <v>25</v>
      </c>
      <c r="G8" s="81" t="s">
        <v>412</v>
      </c>
      <c r="H8" s="81" t="s">
        <v>60</v>
      </c>
      <c r="I8" s="81" t="s">
        <v>25</v>
      </c>
      <c r="J8" s="81">
        <v>126.31</v>
      </c>
      <c r="K8" s="81">
        <v>201.6</v>
      </c>
      <c r="L8" s="81">
        <v>26.643921363858301</v>
      </c>
      <c r="M8" s="81">
        <v>4.5826285057934903</v>
      </c>
      <c r="N8" s="81">
        <v>0</v>
      </c>
      <c r="O8" s="81">
        <v>0</v>
      </c>
      <c r="P8" s="81">
        <v>0</v>
      </c>
      <c r="Q8" s="81">
        <v>75.761952387979093</v>
      </c>
      <c r="R8" s="81">
        <v>14.263282266658001</v>
      </c>
      <c r="S8" s="81">
        <v>0</v>
      </c>
      <c r="T8" s="81">
        <v>0</v>
      </c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5.0617903494687804</v>
      </c>
      <c r="AF8" s="81">
        <v>0</v>
      </c>
      <c r="AG8" s="81">
        <v>0</v>
      </c>
      <c r="AH8" s="81">
        <v>0</v>
      </c>
      <c r="AI8" s="81">
        <v>0</v>
      </c>
      <c r="AJ8" s="81">
        <v>0</v>
      </c>
      <c r="AK8" s="81">
        <v>0</v>
      </c>
      <c r="AL8" s="81">
        <v>0</v>
      </c>
      <c r="AM8" s="81">
        <v>0</v>
      </c>
      <c r="AN8" s="81">
        <v>201.59985963617899</v>
      </c>
      <c r="AO8" s="81">
        <v>0</v>
      </c>
      <c r="AP8" s="81">
        <v>0</v>
      </c>
      <c r="AQ8" s="81">
        <v>0</v>
      </c>
      <c r="AR8" s="81">
        <v>0</v>
      </c>
      <c r="AS8" s="81">
        <v>0</v>
      </c>
      <c r="AT8" s="82">
        <v>0</v>
      </c>
    </row>
    <row r="9" spans="2:46" ht="12" customHeight="1" x14ac:dyDescent="0.25">
      <c r="B9" s="80" t="s">
        <v>58</v>
      </c>
      <c r="C9" s="81" t="s">
        <v>63</v>
      </c>
      <c r="D9" s="81" t="s">
        <v>25</v>
      </c>
      <c r="E9" s="81" t="s">
        <v>25</v>
      </c>
      <c r="F9" s="81" t="s">
        <v>25</v>
      </c>
      <c r="G9" s="81" t="s">
        <v>412</v>
      </c>
      <c r="H9" s="81" t="s">
        <v>64</v>
      </c>
      <c r="I9" s="81" t="s">
        <v>25</v>
      </c>
      <c r="J9" s="81">
        <v>168.51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1">
        <v>48.949900337325502</v>
      </c>
      <c r="Y9" s="81">
        <v>0</v>
      </c>
      <c r="Z9" s="81">
        <v>0</v>
      </c>
      <c r="AA9" s="81">
        <v>119.561691515303</v>
      </c>
      <c r="AB9" s="81">
        <v>0</v>
      </c>
      <c r="AC9" s="81">
        <v>0</v>
      </c>
      <c r="AD9" s="81">
        <v>0</v>
      </c>
      <c r="AE9" s="81">
        <v>0</v>
      </c>
      <c r="AF9" s="81">
        <v>0</v>
      </c>
      <c r="AG9" s="81">
        <v>0</v>
      </c>
      <c r="AH9" s="81">
        <v>0</v>
      </c>
      <c r="AI9" s="81">
        <v>0</v>
      </c>
      <c r="AJ9" s="81">
        <v>0</v>
      </c>
      <c r="AK9" s="81">
        <v>0</v>
      </c>
      <c r="AL9" s="81">
        <v>0</v>
      </c>
      <c r="AM9" s="81">
        <v>0</v>
      </c>
      <c r="AN9" s="81">
        <v>0</v>
      </c>
      <c r="AO9" s="81">
        <v>0</v>
      </c>
      <c r="AP9" s="81">
        <v>0</v>
      </c>
      <c r="AQ9" s="81">
        <v>0</v>
      </c>
      <c r="AR9" s="81">
        <v>0</v>
      </c>
      <c r="AS9" s="81">
        <v>0</v>
      </c>
      <c r="AT9" s="82">
        <v>0</v>
      </c>
    </row>
    <row r="10" spans="2:46" ht="12" customHeight="1" x14ac:dyDescent="0.25">
      <c r="B10" s="80" t="s">
        <v>58</v>
      </c>
      <c r="C10" s="81" t="s">
        <v>63</v>
      </c>
      <c r="D10" s="81" t="s">
        <v>25</v>
      </c>
      <c r="E10" s="81" t="s">
        <v>25</v>
      </c>
      <c r="F10" s="81" t="s">
        <v>25</v>
      </c>
      <c r="G10" s="81" t="s">
        <v>414</v>
      </c>
      <c r="H10" s="81" t="s">
        <v>60</v>
      </c>
      <c r="I10" s="81" t="s">
        <v>25</v>
      </c>
      <c r="J10" s="81">
        <v>126.31</v>
      </c>
      <c r="K10" s="81">
        <v>201.6</v>
      </c>
      <c r="L10" s="81">
        <v>26.643921363858301</v>
      </c>
      <c r="M10" s="81">
        <v>4.5826285057934903</v>
      </c>
      <c r="N10" s="81">
        <v>0</v>
      </c>
      <c r="O10" s="81">
        <v>0</v>
      </c>
      <c r="P10" s="81">
        <v>0</v>
      </c>
      <c r="Q10" s="81">
        <v>75.761952387979093</v>
      </c>
      <c r="R10" s="81">
        <v>14.263282266658001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  <c r="AB10" s="81">
        <v>0</v>
      </c>
      <c r="AC10" s="81">
        <v>0</v>
      </c>
      <c r="AD10" s="81">
        <v>0</v>
      </c>
      <c r="AE10" s="81">
        <v>5.0617903494687804</v>
      </c>
      <c r="AF10" s="81">
        <v>0</v>
      </c>
      <c r="AG10" s="81">
        <v>0</v>
      </c>
      <c r="AH10" s="81">
        <v>0</v>
      </c>
      <c r="AI10" s="81">
        <v>0</v>
      </c>
      <c r="AJ10" s="81">
        <v>0</v>
      </c>
      <c r="AK10" s="81">
        <v>0</v>
      </c>
      <c r="AL10" s="81">
        <v>0</v>
      </c>
      <c r="AM10" s="81">
        <v>0</v>
      </c>
      <c r="AN10" s="81">
        <v>201.59985963617899</v>
      </c>
      <c r="AO10" s="81">
        <v>0</v>
      </c>
      <c r="AP10" s="81">
        <v>0</v>
      </c>
      <c r="AQ10" s="81">
        <v>0</v>
      </c>
      <c r="AR10" s="81">
        <v>0</v>
      </c>
      <c r="AS10" s="81">
        <v>0</v>
      </c>
      <c r="AT10" s="82">
        <v>0</v>
      </c>
    </row>
    <row r="11" spans="2:46" ht="12" customHeight="1" x14ac:dyDescent="0.25">
      <c r="B11" s="80" t="s">
        <v>58</v>
      </c>
      <c r="C11" s="81" t="s">
        <v>63</v>
      </c>
      <c r="D11" s="81" t="s">
        <v>25</v>
      </c>
      <c r="E11" s="81" t="s">
        <v>25</v>
      </c>
      <c r="F11" s="81" t="s">
        <v>25</v>
      </c>
      <c r="G11" s="81" t="s">
        <v>414</v>
      </c>
      <c r="H11" s="81" t="s">
        <v>64</v>
      </c>
      <c r="I11" s="81" t="s">
        <v>25</v>
      </c>
      <c r="J11" s="81">
        <v>53.19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0</v>
      </c>
      <c r="Q11" s="81">
        <v>0</v>
      </c>
      <c r="R11" s="81">
        <v>0</v>
      </c>
      <c r="S11" s="81">
        <v>0</v>
      </c>
      <c r="T11" s="81">
        <v>0</v>
      </c>
      <c r="U11" s="81">
        <v>0</v>
      </c>
      <c r="V11" s="81">
        <v>0</v>
      </c>
      <c r="W11" s="81">
        <v>0</v>
      </c>
      <c r="X11" s="81">
        <v>19.7849524857353</v>
      </c>
      <c r="Y11" s="81">
        <v>0</v>
      </c>
      <c r="Z11" s="81">
        <v>0</v>
      </c>
      <c r="AA11" s="81">
        <v>33.409536429490501</v>
      </c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>
        <v>0</v>
      </c>
      <c r="AI11" s="81">
        <v>0</v>
      </c>
      <c r="AJ11" s="81">
        <v>0</v>
      </c>
      <c r="AK11" s="81">
        <v>0</v>
      </c>
      <c r="AL11" s="81">
        <v>0</v>
      </c>
      <c r="AM11" s="81">
        <v>0</v>
      </c>
      <c r="AN11" s="81">
        <v>0</v>
      </c>
      <c r="AO11" s="81">
        <v>0</v>
      </c>
      <c r="AP11" s="81">
        <v>0</v>
      </c>
      <c r="AQ11" s="81">
        <v>0</v>
      </c>
      <c r="AR11" s="81">
        <v>0</v>
      </c>
      <c r="AS11" s="81">
        <v>0</v>
      </c>
      <c r="AT11" s="82">
        <v>0</v>
      </c>
    </row>
    <row r="12" spans="2:46" ht="12" customHeight="1" x14ac:dyDescent="0.25">
      <c r="B12" s="80" t="s">
        <v>58</v>
      </c>
      <c r="C12" s="81" t="s">
        <v>69</v>
      </c>
      <c r="D12" s="81" t="s">
        <v>25</v>
      </c>
      <c r="E12" s="81" t="s">
        <v>25</v>
      </c>
      <c r="F12" s="81" t="s">
        <v>25</v>
      </c>
      <c r="G12" s="81" t="s">
        <v>25</v>
      </c>
      <c r="H12" s="81" t="s">
        <v>64</v>
      </c>
      <c r="I12" s="81" t="s">
        <v>25</v>
      </c>
      <c r="J12" s="81">
        <v>15.12</v>
      </c>
      <c r="K12" s="81">
        <v>0</v>
      </c>
      <c r="L12" s="81">
        <v>0</v>
      </c>
      <c r="M12" s="81">
        <v>1.0395934327087301E-2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81">
        <v>0</v>
      </c>
      <c r="AA12" s="81">
        <v>15.1145935382148</v>
      </c>
      <c r="AB12" s="81">
        <v>0</v>
      </c>
      <c r="AC12" s="81">
        <v>0</v>
      </c>
      <c r="AD12" s="81">
        <v>0</v>
      </c>
      <c r="AE12" s="81">
        <v>0</v>
      </c>
      <c r="AF12" s="81">
        <v>0</v>
      </c>
      <c r="AG12" s="81">
        <v>0</v>
      </c>
      <c r="AH12" s="81">
        <v>0</v>
      </c>
      <c r="AI12" s="81">
        <v>0</v>
      </c>
      <c r="AJ12" s="81">
        <v>0</v>
      </c>
      <c r="AK12" s="81">
        <v>0</v>
      </c>
      <c r="AL12" s="81">
        <v>0</v>
      </c>
      <c r="AM12" s="81">
        <v>0</v>
      </c>
      <c r="AN12" s="81">
        <v>0</v>
      </c>
      <c r="AO12" s="81">
        <v>0</v>
      </c>
      <c r="AP12" s="81">
        <v>0</v>
      </c>
      <c r="AQ12" s="81">
        <v>0</v>
      </c>
      <c r="AR12" s="81">
        <v>0</v>
      </c>
      <c r="AS12" s="81">
        <v>0</v>
      </c>
      <c r="AT12" s="82">
        <v>0</v>
      </c>
    </row>
    <row r="13" spans="2:46" ht="12" customHeight="1" x14ac:dyDescent="0.25">
      <c r="B13" s="80" t="s">
        <v>58</v>
      </c>
      <c r="C13" s="81" t="s">
        <v>70</v>
      </c>
      <c r="D13" s="81" t="s">
        <v>25</v>
      </c>
      <c r="E13" s="81" t="s">
        <v>25</v>
      </c>
      <c r="F13" s="81" t="s">
        <v>68</v>
      </c>
      <c r="G13" s="81" t="s">
        <v>412</v>
      </c>
      <c r="H13" s="81" t="s">
        <v>60</v>
      </c>
      <c r="I13" s="81" t="s">
        <v>25</v>
      </c>
      <c r="J13" s="81">
        <v>4062.82</v>
      </c>
      <c r="K13" s="81">
        <v>0</v>
      </c>
      <c r="L13" s="81">
        <v>0</v>
      </c>
      <c r="M13" s="81">
        <v>4.5826285057934903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1177.7152906348799</v>
      </c>
      <c r="Y13" s="81">
        <v>0</v>
      </c>
      <c r="Z13" s="81">
        <v>0</v>
      </c>
      <c r="AA13" s="81">
        <v>2875.46079298109</v>
      </c>
      <c r="AB13" s="81">
        <v>0</v>
      </c>
      <c r="AC13" s="81">
        <v>0</v>
      </c>
      <c r="AD13" s="81">
        <v>0</v>
      </c>
      <c r="AE13" s="81">
        <v>5.0617903494687804</v>
      </c>
      <c r="AF13" s="81">
        <v>0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1">
        <v>0</v>
      </c>
      <c r="AM13" s="81">
        <v>0</v>
      </c>
      <c r="AN13" s="81">
        <v>0</v>
      </c>
      <c r="AO13" s="81">
        <v>0</v>
      </c>
      <c r="AP13" s="81">
        <v>0</v>
      </c>
      <c r="AQ13" s="81">
        <v>0</v>
      </c>
      <c r="AR13" s="81">
        <v>0</v>
      </c>
      <c r="AS13" s="81">
        <v>0</v>
      </c>
      <c r="AT13" s="82">
        <v>0</v>
      </c>
    </row>
    <row r="14" spans="2:46" ht="12" customHeight="1" x14ac:dyDescent="0.25">
      <c r="B14" s="80" t="s">
        <v>58</v>
      </c>
      <c r="C14" s="81" t="s">
        <v>70</v>
      </c>
      <c r="D14" s="81" t="s">
        <v>25</v>
      </c>
      <c r="E14" s="81" t="s">
        <v>25</v>
      </c>
      <c r="F14" s="81" t="s">
        <v>68</v>
      </c>
      <c r="G14" s="81" t="s">
        <v>25</v>
      </c>
      <c r="H14" s="81" t="s">
        <v>64</v>
      </c>
      <c r="I14" s="81" t="s">
        <v>25</v>
      </c>
      <c r="J14" s="81">
        <v>53.19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19.7849524857353</v>
      </c>
      <c r="Y14" s="81">
        <v>0</v>
      </c>
      <c r="Z14" s="81">
        <v>0</v>
      </c>
      <c r="AA14" s="81">
        <v>33.409536429490501</v>
      </c>
      <c r="AB14" s="81">
        <v>0</v>
      </c>
      <c r="AC14" s="81">
        <v>0</v>
      </c>
      <c r="AD14" s="81">
        <v>0</v>
      </c>
      <c r="AE14" s="81">
        <v>0</v>
      </c>
      <c r="AF14" s="81">
        <v>0</v>
      </c>
      <c r="AG14" s="81">
        <v>0</v>
      </c>
      <c r="AH14" s="81">
        <v>0</v>
      </c>
      <c r="AI14" s="81">
        <v>0</v>
      </c>
      <c r="AJ14" s="81">
        <v>0</v>
      </c>
      <c r="AK14" s="81">
        <v>0</v>
      </c>
      <c r="AL14" s="81">
        <v>0</v>
      </c>
      <c r="AM14" s="81">
        <v>0</v>
      </c>
      <c r="AN14" s="81">
        <v>0</v>
      </c>
      <c r="AO14" s="81">
        <v>0</v>
      </c>
      <c r="AP14" s="81">
        <v>0</v>
      </c>
      <c r="AQ14" s="81">
        <v>0</v>
      </c>
      <c r="AR14" s="81">
        <v>0</v>
      </c>
      <c r="AS14" s="81">
        <v>0</v>
      </c>
      <c r="AT14" s="82">
        <v>0</v>
      </c>
    </row>
    <row r="15" spans="2:46" ht="12" customHeight="1" x14ac:dyDescent="0.25">
      <c r="B15" s="80" t="s">
        <v>58</v>
      </c>
      <c r="C15" s="81" t="s">
        <v>70</v>
      </c>
      <c r="D15" s="81" t="s">
        <v>25</v>
      </c>
      <c r="E15" s="81" t="s">
        <v>25</v>
      </c>
      <c r="F15" s="81" t="s">
        <v>68</v>
      </c>
      <c r="G15" s="81" t="s">
        <v>414</v>
      </c>
      <c r="H15" s="81" t="s">
        <v>60</v>
      </c>
      <c r="I15" s="81" t="s">
        <v>25</v>
      </c>
      <c r="J15" s="81">
        <v>9.64</v>
      </c>
      <c r="K15" s="81">
        <v>0</v>
      </c>
      <c r="L15" s="81">
        <v>0</v>
      </c>
      <c r="M15" s="81">
        <v>4.5826285057934903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5.0617903494687804</v>
      </c>
      <c r="AF15" s="81">
        <v>0</v>
      </c>
      <c r="AG15" s="81">
        <v>0</v>
      </c>
      <c r="AH15" s="81">
        <v>0</v>
      </c>
      <c r="AI15" s="81">
        <v>0</v>
      </c>
      <c r="AJ15" s="81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  <c r="AR15" s="81">
        <v>0</v>
      </c>
      <c r="AS15" s="81">
        <v>0</v>
      </c>
      <c r="AT15" s="82">
        <v>0</v>
      </c>
    </row>
    <row r="16" spans="2:46" ht="12" customHeight="1" x14ac:dyDescent="0.25">
      <c r="B16" s="80" t="s">
        <v>58</v>
      </c>
      <c r="C16" s="81" t="s">
        <v>70</v>
      </c>
      <c r="D16" s="81" t="s">
        <v>25</v>
      </c>
      <c r="E16" s="81" t="s">
        <v>25</v>
      </c>
      <c r="F16" s="81" t="s">
        <v>25</v>
      </c>
      <c r="G16" s="81" t="s">
        <v>412</v>
      </c>
      <c r="H16" s="81" t="s">
        <v>60</v>
      </c>
      <c r="I16" s="81" t="s">
        <v>25</v>
      </c>
      <c r="J16" s="81">
        <v>4179.49</v>
      </c>
      <c r="K16" s="81">
        <v>201.6</v>
      </c>
      <c r="L16" s="81">
        <v>26.643921363858301</v>
      </c>
      <c r="M16" s="81">
        <v>4.5826285057934903</v>
      </c>
      <c r="N16" s="81">
        <v>0</v>
      </c>
      <c r="O16" s="81">
        <v>0</v>
      </c>
      <c r="P16" s="81">
        <v>0</v>
      </c>
      <c r="Q16" s="81">
        <v>75.761952387979093</v>
      </c>
      <c r="R16" s="81">
        <v>14.263282266658001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  <c r="X16" s="81">
        <v>1177.7152906348799</v>
      </c>
      <c r="Y16" s="81">
        <v>0</v>
      </c>
      <c r="Z16" s="81">
        <v>0</v>
      </c>
      <c r="AA16" s="81">
        <v>2875.46079298109</v>
      </c>
      <c r="AB16" s="81">
        <v>0</v>
      </c>
      <c r="AC16" s="81">
        <v>0</v>
      </c>
      <c r="AD16" s="81">
        <v>0</v>
      </c>
      <c r="AE16" s="81">
        <v>5.0617903494687804</v>
      </c>
      <c r="AF16" s="81">
        <v>0</v>
      </c>
      <c r="AG16" s="81">
        <v>0</v>
      </c>
      <c r="AH16" s="81">
        <v>0</v>
      </c>
      <c r="AI16" s="81">
        <v>0</v>
      </c>
      <c r="AJ16" s="81">
        <v>0</v>
      </c>
      <c r="AK16" s="81">
        <v>0</v>
      </c>
      <c r="AL16" s="81">
        <v>0</v>
      </c>
      <c r="AM16" s="81">
        <v>0</v>
      </c>
      <c r="AN16" s="81">
        <v>201.59985963617899</v>
      </c>
      <c r="AO16" s="81">
        <v>0</v>
      </c>
      <c r="AP16" s="81">
        <v>0</v>
      </c>
      <c r="AQ16" s="81">
        <v>0</v>
      </c>
      <c r="AR16" s="81">
        <v>0</v>
      </c>
      <c r="AS16" s="81">
        <v>0</v>
      </c>
      <c r="AT16" s="82">
        <v>0</v>
      </c>
    </row>
    <row r="17" spans="2:46" ht="12" customHeight="1" x14ac:dyDescent="0.25">
      <c r="B17" s="80" t="s">
        <v>58</v>
      </c>
      <c r="C17" s="81" t="s">
        <v>70</v>
      </c>
      <c r="D17" s="81" t="s">
        <v>25</v>
      </c>
      <c r="E17" s="81" t="s">
        <v>25</v>
      </c>
      <c r="F17" s="81" t="s">
        <v>25</v>
      </c>
      <c r="G17" s="81" t="s">
        <v>25</v>
      </c>
      <c r="H17" s="81" t="s">
        <v>64</v>
      </c>
      <c r="I17" s="81" t="s">
        <v>25</v>
      </c>
      <c r="J17" s="81">
        <v>53.19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  <c r="X17" s="81">
        <v>19.7849524857353</v>
      </c>
      <c r="Y17" s="81">
        <v>0</v>
      </c>
      <c r="Z17" s="81">
        <v>0</v>
      </c>
      <c r="AA17" s="81">
        <v>33.409536429490501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81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  <c r="AR17" s="81">
        <v>0</v>
      </c>
      <c r="AS17" s="81">
        <v>0</v>
      </c>
      <c r="AT17" s="82">
        <v>0</v>
      </c>
    </row>
    <row r="18" spans="2:46" ht="12" customHeight="1" x14ac:dyDescent="0.25">
      <c r="B18" s="80" t="s">
        <v>58</v>
      </c>
      <c r="C18" s="81" t="s">
        <v>70</v>
      </c>
      <c r="D18" s="81" t="s">
        <v>25</v>
      </c>
      <c r="E18" s="81" t="s">
        <v>25</v>
      </c>
      <c r="F18" s="81" t="s">
        <v>25</v>
      </c>
      <c r="G18" s="81" t="s">
        <v>414</v>
      </c>
      <c r="H18" s="81" t="s">
        <v>60</v>
      </c>
      <c r="I18" s="81" t="s">
        <v>25</v>
      </c>
      <c r="J18" s="81">
        <v>126.31</v>
      </c>
      <c r="K18" s="81">
        <v>201.6</v>
      </c>
      <c r="L18" s="81">
        <v>26.643921363858301</v>
      </c>
      <c r="M18" s="81">
        <v>4.5826285057934903</v>
      </c>
      <c r="N18" s="81">
        <v>0</v>
      </c>
      <c r="O18" s="81">
        <v>0</v>
      </c>
      <c r="P18" s="81">
        <v>0</v>
      </c>
      <c r="Q18" s="81">
        <v>75.761952387979093</v>
      </c>
      <c r="R18" s="81">
        <v>14.263282266658001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>
        <v>5.0617903494687804</v>
      </c>
      <c r="AF18" s="81">
        <v>0</v>
      </c>
      <c r="AG18" s="81">
        <v>0</v>
      </c>
      <c r="AH18" s="81">
        <v>0</v>
      </c>
      <c r="AI18" s="81">
        <v>0</v>
      </c>
      <c r="AJ18" s="81">
        <v>0</v>
      </c>
      <c r="AK18" s="81">
        <v>0</v>
      </c>
      <c r="AL18" s="81">
        <v>0</v>
      </c>
      <c r="AM18" s="81">
        <v>0</v>
      </c>
      <c r="AN18" s="81">
        <v>201.59985963617899</v>
      </c>
      <c r="AO18" s="81">
        <v>0</v>
      </c>
      <c r="AP18" s="81">
        <v>0</v>
      </c>
      <c r="AQ18" s="81">
        <v>0</v>
      </c>
      <c r="AR18" s="81">
        <v>0</v>
      </c>
      <c r="AS18" s="81">
        <v>0</v>
      </c>
      <c r="AT18" s="82">
        <v>0</v>
      </c>
    </row>
    <row r="19" spans="2:46" ht="12" customHeight="1" x14ac:dyDescent="0.25">
      <c r="B19" s="80" t="s">
        <v>71</v>
      </c>
      <c r="C19" s="81" t="s">
        <v>69</v>
      </c>
      <c r="D19" s="81" t="s">
        <v>25</v>
      </c>
      <c r="E19" s="81" t="s">
        <v>25</v>
      </c>
      <c r="F19" s="81" t="s">
        <v>72</v>
      </c>
      <c r="G19" s="81" t="s">
        <v>25</v>
      </c>
      <c r="H19" s="81" t="s">
        <v>64</v>
      </c>
      <c r="I19" s="81" t="s">
        <v>25</v>
      </c>
      <c r="J19" s="81">
        <v>15.6</v>
      </c>
      <c r="K19" s="81">
        <v>0</v>
      </c>
      <c r="L19" s="81">
        <v>0</v>
      </c>
      <c r="M19" s="81">
        <v>1.06987285307889E-2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81">
        <v>0</v>
      </c>
      <c r="AA19" s="81">
        <v>15.590528460726601</v>
      </c>
      <c r="AB19" s="81">
        <v>0</v>
      </c>
      <c r="AC19" s="81">
        <v>0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1">
        <v>0</v>
      </c>
      <c r="AJ19" s="81">
        <v>0</v>
      </c>
      <c r="AK19" s="81">
        <v>0</v>
      </c>
      <c r="AL19" s="81">
        <v>0</v>
      </c>
      <c r="AM19" s="81">
        <v>0</v>
      </c>
      <c r="AN19" s="81">
        <v>0</v>
      </c>
      <c r="AO19" s="81">
        <v>0</v>
      </c>
      <c r="AP19" s="81">
        <v>0</v>
      </c>
      <c r="AQ19" s="81">
        <v>0</v>
      </c>
      <c r="AR19" s="81">
        <v>0</v>
      </c>
      <c r="AS19" s="81">
        <v>0</v>
      </c>
      <c r="AT19" s="82">
        <v>0</v>
      </c>
    </row>
    <row r="20" spans="2:46" ht="12" customHeight="1" x14ac:dyDescent="0.25">
      <c r="B20" s="80" t="s">
        <v>71</v>
      </c>
      <c r="C20" s="81" t="s">
        <v>69</v>
      </c>
      <c r="D20" s="81" t="s">
        <v>25</v>
      </c>
      <c r="E20" s="81" t="s">
        <v>25</v>
      </c>
      <c r="F20" s="81" t="s">
        <v>73</v>
      </c>
      <c r="G20" s="81" t="s">
        <v>25</v>
      </c>
      <c r="H20" s="81" t="s">
        <v>64</v>
      </c>
      <c r="I20" s="81" t="s">
        <v>25</v>
      </c>
      <c r="J20" s="81">
        <v>31.73</v>
      </c>
      <c r="K20" s="81">
        <v>0</v>
      </c>
      <c r="L20" s="81">
        <v>0</v>
      </c>
      <c r="M20" s="81">
        <v>1.06987285307889E-2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81">
        <v>0</v>
      </c>
      <c r="AA20" s="81">
        <v>31.719459000970001</v>
      </c>
      <c r="AB20" s="81">
        <v>0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0</v>
      </c>
      <c r="AO20" s="81">
        <v>0</v>
      </c>
      <c r="AP20" s="81">
        <v>0</v>
      </c>
      <c r="AQ20" s="81">
        <v>0</v>
      </c>
      <c r="AR20" s="81">
        <v>0</v>
      </c>
      <c r="AS20" s="81">
        <v>0</v>
      </c>
      <c r="AT20" s="82">
        <v>0</v>
      </c>
    </row>
    <row r="21" spans="2:46" ht="12" customHeight="1" x14ac:dyDescent="0.25">
      <c r="B21" s="80" t="s">
        <v>22</v>
      </c>
      <c r="C21" s="81" t="s">
        <v>76</v>
      </c>
      <c r="D21" s="81" t="s">
        <v>24</v>
      </c>
      <c r="E21" s="81" t="s">
        <v>24</v>
      </c>
      <c r="F21" s="81" t="s">
        <v>25</v>
      </c>
      <c r="G21" s="81" t="s">
        <v>412</v>
      </c>
      <c r="H21" s="81" t="s">
        <v>60</v>
      </c>
      <c r="I21" s="81" t="s">
        <v>25</v>
      </c>
      <c r="J21" s="81">
        <v>1926.26</v>
      </c>
      <c r="K21" s="81">
        <v>201.6</v>
      </c>
      <c r="L21" s="81">
        <v>31.718954004593201</v>
      </c>
      <c r="M21" s="81">
        <v>2.3043606176318101</v>
      </c>
      <c r="N21" s="81">
        <v>0</v>
      </c>
      <c r="O21" s="81">
        <v>0</v>
      </c>
      <c r="P21" s="81">
        <v>0</v>
      </c>
      <c r="Q21" s="81">
        <v>90.192800461879798</v>
      </c>
      <c r="R21" s="81">
        <v>14.263282266658001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  <c r="X21" s="81">
        <v>431.16945700945899</v>
      </c>
      <c r="Y21" s="81">
        <v>0</v>
      </c>
      <c r="Z21" s="81">
        <v>0</v>
      </c>
      <c r="AA21" s="81">
        <v>1343.49913714075</v>
      </c>
      <c r="AB21" s="81">
        <v>0</v>
      </c>
      <c r="AC21" s="81">
        <v>0</v>
      </c>
      <c r="AD21" s="81">
        <v>0</v>
      </c>
      <c r="AE21" s="81">
        <v>13.1103150659481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201.59985963617899</v>
      </c>
      <c r="AO21" s="81">
        <v>0</v>
      </c>
      <c r="AP21" s="81">
        <v>0</v>
      </c>
      <c r="AQ21" s="81">
        <v>0</v>
      </c>
      <c r="AR21" s="81">
        <v>0</v>
      </c>
      <c r="AS21" s="81">
        <v>0</v>
      </c>
      <c r="AT21" s="82">
        <v>0</v>
      </c>
    </row>
    <row r="22" spans="2:46" ht="12" customHeight="1" x14ac:dyDescent="0.25">
      <c r="B22" s="80" t="s">
        <v>22</v>
      </c>
      <c r="C22" s="81" t="s">
        <v>76</v>
      </c>
      <c r="D22" s="81" t="s">
        <v>24</v>
      </c>
      <c r="E22" s="81" t="s">
        <v>24</v>
      </c>
      <c r="F22" s="81" t="s">
        <v>25</v>
      </c>
      <c r="G22" s="81" t="s">
        <v>409</v>
      </c>
      <c r="H22" s="81" t="s">
        <v>60</v>
      </c>
      <c r="I22" s="81" t="s">
        <v>25</v>
      </c>
      <c r="J22" s="81">
        <v>1216.3900000000001</v>
      </c>
      <c r="K22" s="81">
        <v>201.6</v>
      </c>
      <c r="L22" s="81">
        <v>31.718954004593201</v>
      </c>
      <c r="M22" s="81">
        <v>2.3043606176318101</v>
      </c>
      <c r="N22" s="81">
        <v>0</v>
      </c>
      <c r="O22" s="81">
        <v>0</v>
      </c>
      <c r="P22" s="81">
        <v>0</v>
      </c>
      <c r="Q22" s="81">
        <v>90.192800461879798</v>
      </c>
      <c r="R22" s="81">
        <v>14.263282266658001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  <c r="X22" s="81">
        <v>258.70165091638302</v>
      </c>
      <c r="Y22" s="81">
        <v>0</v>
      </c>
      <c r="Z22" s="81">
        <v>0</v>
      </c>
      <c r="AA22" s="81">
        <v>806.09988457741201</v>
      </c>
      <c r="AB22" s="81">
        <v>0</v>
      </c>
      <c r="AC22" s="81">
        <v>0</v>
      </c>
      <c r="AD22" s="81">
        <v>0</v>
      </c>
      <c r="AE22" s="81">
        <v>13.1103150659481</v>
      </c>
      <c r="AF22" s="81">
        <v>0</v>
      </c>
      <c r="AG22" s="81">
        <v>0</v>
      </c>
      <c r="AH22" s="81">
        <v>0</v>
      </c>
      <c r="AI22" s="81">
        <v>0</v>
      </c>
      <c r="AJ22" s="81">
        <v>0</v>
      </c>
      <c r="AK22" s="81">
        <v>0</v>
      </c>
      <c r="AL22" s="81">
        <v>0</v>
      </c>
      <c r="AM22" s="81">
        <v>0</v>
      </c>
      <c r="AN22" s="81">
        <v>201.59985963617899</v>
      </c>
      <c r="AO22" s="81">
        <v>0</v>
      </c>
      <c r="AP22" s="81">
        <v>0</v>
      </c>
      <c r="AQ22" s="81">
        <v>0</v>
      </c>
      <c r="AR22" s="81">
        <v>0</v>
      </c>
      <c r="AS22" s="81">
        <v>0</v>
      </c>
      <c r="AT22" s="82">
        <v>0</v>
      </c>
    </row>
    <row r="23" spans="2:46" ht="12" customHeight="1" x14ac:dyDescent="0.25">
      <c r="B23" s="80" t="s">
        <v>22</v>
      </c>
      <c r="C23" s="81" t="s">
        <v>76</v>
      </c>
      <c r="D23" s="81" t="s">
        <v>24</v>
      </c>
      <c r="E23" s="81" t="s">
        <v>24</v>
      </c>
      <c r="F23" s="81" t="s">
        <v>25</v>
      </c>
      <c r="G23" s="81" t="s">
        <v>414</v>
      </c>
      <c r="H23" s="81" t="s">
        <v>60</v>
      </c>
      <c r="I23" s="81" t="s">
        <v>25</v>
      </c>
      <c r="J23" s="81">
        <v>506.6</v>
      </c>
      <c r="K23" s="81">
        <v>201.6</v>
      </c>
      <c r="L23" s="81">
        <v>31.718954004593201</v>
      </c>
      <c r="M23" s="81">
        <v>2.3043606176318101</v>
      </c>
      <c r="N23" s="81">
        <v>0</v>
      </c>
      <c r="O23" s="81">
        <v>0</v>
      </c>
      <c r="P23" s="81">
        <v>0</v>
      </c>
      <c r="Q23" s="81">
        <v>90.192800461879798</v>
      </c>
      <c r="R23" s="81">
        <v>14.263282266658001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  <c r="X23" s="81">
        <v>86.312679077735197</v>
      </c>
      <c r="Y23" s="81">
        <v>0</v>
      </c>
      <c r="Z23" s="81">
        <v>0</v>
      </c>
      <c r="AA23" s="81">
        <v>268.69962628167002</v>
      </c>
      <c r="AB23" s="81">
        <v>0</v>
      </c>
      <c r="AC23" s="81">
        <v>0</v>
      </c>
      <c r="AD23" s="81">
        <v>0</v>
      </c>
      <c r="AE23" s="81">
        <v>13.1103150659481</v>
      </c>
      <c r="AF23" s="81">
        <v>0</v>
      </c>
      <c r="AG23" s="81">
        <v>0</v>
      </c>
      <c r="AH23" s="81">
        <v>0</v>
      </c>
      <c r="AI23" s="81">
        <v>0</v>
      </c>
      <c r="AJ23" s="81">
        <v>0</v>
      </c>
      <c r="AK23" s="81">
        <v>0</v>
      </c>
      <c r="AL23" s="81">
        <v>0</v>
      </c>
      <c r="AM23" s="81">
        <v>0</v>
      </c>
      <c r="AN23" s="81">
        <v>201.59985963617899</v>
      </c>
      <c r="AO23" s="81">
        <v>0</v>
      </c>
      <c r="AP23" s="81">
        <v>0</v>
      </c>
      <c r="AQ23" s="81">
        <v>0</v>
      </c>
      <c r="AR23" s="81">
        <v>0</v>
      </c>
      <c r="AS23" s="81">
        <v>0</v>
      </c>
      <c r="AT23" s="82">
        <v>0</v>
      </c>
    </row>
    <row r="24" spans="2:46" ht="12" customHeight="1" x14ac:dyDescent="0.25">
      <c r="B24" s="80" t="s">
        <v>22</v>
      </c>
      <c r="C24" s="81" t="s">
        <v>23</v>
      </c>
      <c r="D24" s="81" t="s">
        <v>24</v>
      </c>
      <c r="E24" s="81" t="s">
        <v>941</v>
      </c>
      <c r="F24" s="81" t="s">
        <v>25</v>
      </c>
      <c r="G24" s="81" t="s">
        <v>25</v>
      </c>
      <c r="H24" s="81" t="s">
        <v>60</v>
      </c>
      <c r="I24" s="81" t="s">
        <v>25</v>
      </c>
      <c r="J24" s="81">
        <v>672.63</v>
      </c>
      <c r="K24" s="81">
        <v>201.6</v>
      </c>
      <c r="L24" s="81">
        <v>0</v>
      </c>
      <c r="M24" s="81">
        <v>2.3043606176318101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  <c r="X24" s="81">
        <v>159.619452871774</v>
      </c>
      <c r="Y24" s="81">
        <v>0</v>
      </c>
      <c r="Z24" s="81">
        <v>0</v>
      </c>
      <c r="AA24" s="81">
        <v>497.59236406905598</v>
      </c>
      <c r="AB24" s="81">
        <v>0</v>
      </c>
      <c r="AC24" s="81">
        <v>0</v>
      </c>
      <c r="AD24" s="81">
        <v>0</v>
      </c>
      <c r="AE24" s="81">
        <v>13.1103150659481</v>
      </c>
      <c r="AF24" s="81">
        <v>0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  <c r="AN24" s="81">
        <v>201.59985963617899</v>
      </c>
      <c r="AO24" s="81">
        <v>0</v>
      </c>
      <c r="AP24" s="81">
        <v>0</v>
      </c>
      <c r="AQ24" s="81">
        <v>0</v>
      </c>
      <c r="AR24" s="81">
        <v>0</v>
      </c>
      <c r="AS24" s="81">
        <v>0</v>
      </c>
      <c r="AT24" s="82">
        <v>0</v>
      </c>
    </row>
    <row r="25" spans="2:46" ht="12" customHeight="1" x14ac:dyDescent="0.25">
      <c r="B25" s="80" t="s">
        <v>22</v>
      </c>
      <c r="C25" s="81" t="s">
        <v>23</v>
      </c>
      <c r="D25" s="81" t="s">
        <v>24</v>
      </c>
      <c r="E25" s="81" t="s">
        <v>24</v>
      </c>
      <c r="F25" s="81" t="s">
        <v>25</v>
      </c>
      <c r="G25" s="81" t="s">
        <v>25</v>
      </c>
      <c r="H25" s="81" t="s">
        <v>60</v>
      </c>
      <c r="I25" s="81" t="s">
        <v>25</v>
      </c>
      <c r="J25" s="81">
        <v>808.8</v>
      </c>
      <c r="K25" s="81">
        <v>201.6</v>
      </c>
      <c r="L25" s="81">
        <v>31.718954004593201</v>
      </c>
      <c r="M25" s="81">
        <v>2.3043606176318101</v>
      </c>
      <c r="N25" s="81">
        <v>0</v>
      </c>
      <c r="O25" s="81">
        <v>0</v>
      </c>
      <c r="P25" s="81">
        <v>0</v>
      </c>
      <c r="Q25" s="81">
        <v>90.192800461879798</v>
      </c>
      <c r="R25" s="81">
        <v>14.263282266658001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  <c r="X25" s="81">
        <v>159.619452871774</v>
      </c>
      <c r="Y25" s="81">
        <v>0</v>
      </c>
      <c r="Z25" s="81">
        <v>0</v>
      </c>
      <c r="AA25" s="81">
        <v>497.59236406905598</v>
      </c>
      <c r="AB25" s="81">
        <v>0</v>
      </c>
      <c r="AC25" s="81">
        <v>0</v>
      </c>
      <c r="AD25" s="81">
        <v>0</v>
      </c>
      <c r="AE25" s="81">
        <v>13.1103150659481</v>
      </c>
      <c r="AF25" s="81">
        <v>0</v>
      </c>
      <c r="AG25" s="81">
        <v>0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  <c r="AN25" s="81">
        <v>201.59985963617899</v>
      </c>
      <c r="AO25" s="81">
        <v>0</v>
      </c>
      <c r="AP25" s="81">
        <v>0</v>
      </c>
      <c r="AQ25" s="81">
        <v>0</v>
      </c>
      <c r="AR25" s="81">
        <v>0</v>
      </c>
      <c r="AS25" s="81">
        <v>0</v>
      </c>
      <c r="AT25" s="82">
        <v>0</v>
      </c>
    </row>
    <row r="26" spans="2:46" ht="12" customHeight="1" x14ac:dyDescent="0.25">
      <c r="B26" s="80" t="s">
        <v>22</v>
      </c>
      <c r="C26" s="81" t="s">
        <v>78</v>
      </c>
      <c r="D26" s="81" t="s">
        <v>24</v>
      </c>
      <c r="E26" s="81" t="s">
        <v>941</v>
      </c>
      <c r="F26" s="81" t="s">
        <v>25</v>
      </c>
      <c r="G26" s="81" t="s">
        <v>25</v>
      </c>
      <c r="H26" s="81" t="s">
        <v>60</v>
      </c>
      <c r="I26" s="81" t="s">
        <v>25</v>
      </c>
      <c r="J26" s="81">
        <v>672.63</v>
      </c>
      <c r="K26" s="81">
        <v>201.6</v>
      </c>
      <c r="L26" s="81">
        <v>0</v>
      </c>
      <c r="M26" s="81">
        <v>2.3043606176318101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  <c r="X26" s="81">
        <v>159.619452871774</v>
      </c>
      <c r="Y26" s="81">
        <v>0</v>
      </c>
      <c r="Z26" s="81">
        <v>0</v>
      </c>
      <c r="AA26" s="81">
        <v>497.59236406905598</v>
      </c>
      <c r="AB26" s="81">
        <v>0</v>
      </c>
      <c r="AC26" s="81">
        <v>0</v>
      </c>
      <c r="AD26" s="81">
        <v>0</v>
      </c>
      <c r="AE26" s="81">
        <v>13.1103150659481</v>
      </c>
      <c r="AF26" s="81">
        <v>0</v>
      </c>
      <c r="AG26" s="81">
        <v>0</v>
      </c>
      <c r="AH26" s="81">
        <v>0</v>
      </c>
      <c r="AI26" s="81">
        <v>0</v>
      </c>
      <c r="AJ26" s="81">
        <v>0</v>
      </c>
      <c r="AK26" s="81">
        <v>0</v>
      </c>
      <c r="AL26" s="81">
        <v>0</v>
      </c>
      <c r="AM26" s="81">
        <v>0</v>
      </c>
      <c r="AN26" s="81">
        <v>201.59985963617899</v>
      </c>
      <c r="AO26" s="81">
        <v>0</v>
      </c>
      <c r="AP26" s="81">
        <v>0</v>
      </c>
      <c r="AQ26" s="81">
        <v>0</v>
      </c>
      <c r="AR26" s="81">
        <v>0</v>
      </c>
      <c r="AS26" s="81">
        <v>0</v>
      </c>
      <c r="AT26" s="82">
        <v>0</v>
      </c>
    </row>
    <row r="27" spans="2:46" ht="12" customHeight="1" x14ac:dyDescent="0.25">
      <c r="B27" s="80" t="s">
        <v>22</v>
      </c>
      <c r="C27" s="81" t="s">
        <v>78</v>
      </c>
      <c r="D27" s="81" t="s">
        <v>24</v>
      </c>
      <c r="E27" s="81" t="s">
        <v>24</v>
      </c>
      <c r="F27" s="81" t="s">
        <v>25</v>
      </c>
      <c r="G27" s="81" t="s">
        <v>25</v>
      </c>
      <c r="H27" s="81" t="s">
        <v>60</v>
      </c>
      <c r="I27" s="81" t="s">
        <v>25</v>
      </c>
      <c r="J27" s="81">
        <v>808.8</v>
      </c>
      <c r="K27" s="81">
        <v>201.6</v>
      </c>
      <c r="L27" s="81">
        <v>31.718954004593201</v>
      </c>
      <c r="M27" s="81">
        <v>2.3043606176318101</v>
      </c>
      <c r="N27" s="81">
        <v>0</v>
      </c>
      <c r="O27" s="81">
        <v>0</v>
      </c>
      <c r="P27" s="81">
        <v>0</v>
      </c>
      <c r="Q27" s="81">
        <v>90.192800461879798</v>
      </c>
      <c r="R27" s="81">
        <v>14.263282266658001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  <c r="X27" s="81">
        <v>159.619452871774</v>
      </c>
      <c r="Y27" s="81">
        <v>0</v>
      </c>
      <c r="Z27" s="81">
        <v>0</v>
      </c>
      <c r="AA27" s="81">
        <v>497.59236406905598</v>
      </c>
      <c r="AB27" s="81">
        <v>0</v>
      </c>
      <c r="AC27" s="81">
        <v>0</v>
      </c>
      <c r="AD27" s="81">
        <v>0</v>
      </c>
      <c r="AE27" s="81">
        <v>13.1103150659481</v>
      </c>
      <c r="AF27" s="81">
        <v>0</v>
      </c>
      <c r="AG27" s="81">
        <v>0</v>
      </c>
      <c r="AH27" s="81">
        <v>0</v>
      </c>
      <c r="AI27" s="81">
        <v>0</v>
      </c>
      <c r="AJ27" s="81">
        <v>0</v>
      </c>
      <c r="AK27" s="81">
        <v>0</v>
      </c>
      <c r="AL27" s="81">
        <v>0</v>
      </c>
      <c r="AM27" s="81">
        <v>0</v>
      </c>
      <c r="AN27" s="81">
        <v>201.59985963617899</v>
      </c>
      <c r="AO27" s="81">
        <v>0</v>
      </c>
      <c r="AP27" s="81">
        <v>0</v>
      </c>
      <c r="AQ27" s="81">
        <v>0</v>
      </c>
      <c r="AR27" s="81">
        <v>0</v>
      </c>
      <c r="AS27" s="81">
        <v>0</v>
      </c>
      <c r="AT27" s="82">
        <v>0</v>
      </c>
    </row>
    <row r="28" spans="2:46" ht="12" customHeight="1" x14ac:dyDescent="0.25">
      <c r="B28" s="80" t="s">
        <v>31</v>
      </c>
      <c r="C28" s="81" t="s">
        <v>76</v>
      </c>
      <c r="D28" s="81" t="s">
        <v>32</v>
      </c>
      <c r="E28" s="81" t="s">
        <v>79</v>
      </c>
      <c r="F28" s="81" t="s">
        <v>25</v>
      </c>
      <c r="G28" s="81" t="s">
        <v>412</v>
      </c>
      <c r="H28" s="81" t="s">
        <v>60</v>
      </c>
      <c r="I28" s="81" t="s">
        <v>25</v>
      </c>
      <c r="J28" s="81">
        <v>1964.96</v>
      </c>
      <c r="K28" s="81">
        <v>189.5</v>
      </c>
      <c r="L28" s="81">
        <v>29.815816764317599</v>
      </c>
      <c r="M28" s="81">
        <v>2.1660989805739099</v>
      </c>
      <c r="N28" s="81">
        <v>0</v>
      </c>
      <c r="O28" s="81">
        <v>0</v>
      </c>
      <c r="P28" s="81">
        <v>0</v>
      </c>
      <c r="Q28" s="81">
        <v>84.781232434167094</v>
      </c>
      <c r="R28" s="81">
        <v>13.407485330658499</v>
      </c>
      <c r="S28" s="81">
        <v>0</v>
      </c>
      <c r="T28" s="81">
        <v>0</v>
      </c>
      <c r="U28" s="81">
        <v>0</v>
      </c>
      <c r="V28" s="81">
        <v>0</v>
      </c>
      <c r="W28" s="81">
        <v>0</v>
      </c>
      <c r="X28" s="81">
        <v>442.64309920072498</v>
      </c>
      <c r="Y28" s="81">
        <v>0</v>
      </c>
      <c r="Z28" s="81">
        <v>0</v>
      </c>
      <c r="AA28" s="81">
        <v>1379.82365707644</v>
      </c>
      <c r="AB28" s="81">
        <v>0</v>
      </c>
      <c r="AC28" s="81">
        <v>0</v>
      </c>
      <c r="AD28" s="81">
        <v>0</v>
      </c>
      <c r="AE28" s="81">
        <v>12.323696161991201</v>
      </c>
      <c r="AF28" s="81">
        <v>0</v>
      </c>
      <c r="AG28" s="81">
        <v>0</v>
      </c>
      <c r="AH28" s="81">
        <v>0</v>
      </c>
      <c r="AI28" s="81">
        <v>0</v>
      </c>
      <c r="AJ28" s="81">
        <v>0</v>
      </c>
      <c r="AK28" s="81">
        <v>0</v>
      </c>
      <c r="AL28" s="81">
        <v>0</v>
      </c>
      <c r="AM28" s="81">
        <v>0</v>
      </c>
      <c r="AN28" s="81">
        <v>189.50386805800801</v>
      </c>
      <c r="AO28" s="81">
        <v>0</v>
      </c>
      <c r="AP28" s="81">
        <v>0</v>
      </c>
      <c r="AQ28" s="81">
        <v>0</v>
      </c>
      <c r="AR28" s="81">
        <v>0</v>
      </c>
      <c r="AS28" s="81">
        <v>0</v>
      </c>
      <c r="AT28" s="82">
        <v>0</v>
      </c>
    </row>
    <row r="29" spans="2:46" ht="12" customHeight="1" x14ac:dyDescent="0.25">
      <c r="B29" s="80" t="s">
        <v>31</v>
      </c>
      <c r="C29" s="81" t="s">
        <v>76</v>
      </c>
      <c r="D29" s="81" t="s">
        <v>32</v>
      </c>
      <c r="E29" s="81" t="s">
        <v>79</v>
      </c>
      <c r="F29" s="81" t="s">
        <v>25</v>
      </c>
      <c r="G29" s="81" t="s">
        <v>409</v>
      </c>
      <c r="H29" s="81" t="s">
        <v>60</v>
      </c>
      <c r="I29" s="81" t="s">
        <v>25</v>
      </c>
      <c r="J29" s="81">
        <v>1235.94</v>
      </c>
      <c r="K29" s="81">
        <v>189.5</v>
      </c>
      <c r="L29" s="81">
        <v>29.815816764317599</v>
      </c>
      <c r="M29" s="81">
        <v>2.1660989805739099</v>
      </c>
      <c r="N29" s="81">
        <v>0</v>
      </c>
      <c r="O29" s="81">
        <v>0</v>
      </c>
      <c r="P29" s="81">
        <v>0</v>
      </c>
      <c r="Q29" s="81">
        <v>84.781232434167094</v>
      </c>
      <c r="R29" s="81">
        <v>13.407485330658499</v>
      </c>
      <c r="S29" s="81">
        <v>0</v>
      </c>
      <c r="T29" s="81">
        <v>0</v>
      </c>
      <c r="U29" s="81">
        <v>0</v>
      </c>
      <c r="V29" s="81">
        <v>0</v>
      </c>
      <c r="W29" s="81">
        <v>0</v>
      </c>
      <c r="X29" s="81">
        <v>265.55628351657401</v>
      </c>
      <c r="Y29" s="81">
        <v>0</v>
      </c>
      <c r="Z29" s="81">
        <v>0</v>
      </c>
      <c r="AA29" s="81">
        <v>827.89390012500996</v>
      </c>
      <c r="AB29" s="81">
        <v>0</v>
      </c>
      <c r="AC29" s="81">
        <v>0</v>
      </c>
      <c r="AD29" s="81">
        <v>0</v>
      </c>
      <c r="AE29" s="81">
        <v>12.323696161991201</v>
      </c>
      <c r="AF29" s="81">
        <v>0</v>
      </c>
      <c r="AG29" s="81">
        <v>0</v>
      </c>
      <c r="AH29" s="81">
        <v>0</v>
      </c>
      <c r="AI29" s="81">
        <v>0</v>
      </c>
      <c r="AJ29" s="81">
        <v>0</v>
      </c>
      <c r="AK29" s="81">
        <v>0</v>
      </c>
      <c r="AL29" s="81">
        <v>0</v>
      </c>
      <c r="AM29" s="81">
        <v>0</v>
      </c>
      <c r="AN29" s="81">
        <v>189.50386805800801</v>
      </c>
      <c r="AO29" s="81">
        <v>0</v>
      </c>
      <c r="AP29" s="81">
        <v>0</v>
      </c>
      <c r="AQ29" s="81">
        <v>0</v>
      </c>
      <c r="AR29" s="81">
        <v>0</v>
      </c>
      <c r="AS29" s="81">
        <v>0</v>
      </c>
      <c r="AT29" s="82">
        <v>0</v>
      </c>
    </row>
    <row r="30" spans="2:46" ht="12" customHeight="1" x14ac:dyDescent="0.25">
      <c r="B30" s="80" t="s">
        <v>31</v>
      </c>
      <c r="C30" s="81" t="s">
        <v>76</v>
      </c>
      <c r="D30" s="81" t="s">
        <v>32</v>
      </c>
      <c r="E30" s="81" t="s">
        <v>79</v>
      </c>
      <c r="F30" s="81" t="s">
        <v>25</v>
      </c>
      <c r="G30" s="81" t="s">
        <v>414</v>
      </c>
      <c r="H30" s="81" t="s">
        <v>60</v>
      </c>
      <c r="I30" s="81" t="s">
        <v>25</v>
      </c>
      <c r="J30" s="81">
        <v>506.93</v>
      </c>
      <c r="K30" s="81">
        <v>189.5</v>
      </c>
      <c r="L30" s="81">
        <v>29.815816764317599</v>
      </c>
      <c r="M30" s="81">
        <v>2.1660989805739099</v>
      </c>
      <c r="N30" s="81">
        <v>0</v>
      </c>
      <c r="O30" s="81">
        <v>0</v>
      </c>
      <c r="P30" s="81">
        <v>0</v>
      </c>
      <c r="Q30" s="81">
        <v>84.781232434167094</v>
      </c>
      <c r="R30" s="81">
        <v>13.407485330658499</v>
      </c>
      <c r="S30" s="81">
        <v>0</v>
      </c>
      <c r="T30" s="81">
        <v>0</v>
      </c>
      <c r="U30" s="81">
        <v>0</v>
      </c>
      <c r="V30" s="81">
        <v>0</v>
      </c>
      <c r="W30" s="81">
        <v>0</v>
      </c>
      <c r="X30" s="81">
        <v>88.469358372749795</v>
      </c>
      <c r="Y30" s="81">
        <v>0</v>
      </c>
      <c r="Z30" s="81">
        <v>0</v>
      </c>
      <c r="AA30" s="81">
        <v>275.96466838939102</v>
      </c>
      <c r="AB30" s="81">
        <v>0</v>
      </c>
      <c r="AC30" s="81">
        <v>0</v>
      </c>
      <c r="AD30" s="81">
        <v>0</v>
      </c>
      <c r="AE30" s="81">
        <v>12.323696161991201</v>
      </c>
      <c r="AF30" s="81">
        <v>0</v>
      </c>
      <c r="AG30" s="81">
        <v>0</v>
      </c>
      <c r="AH30" s="81">
        <v>0</v>
      </c>
      <c r="AI30" s="81">
        <v>0</v>
      </c>
      <c r="AJ30" s="81">
        <v>0</v>
      </c>
      <c r="AK30" s="81">
        <v>0</v>
      </c>
      <c r="AL30" s="81">
        <v>0</v>
      </c>
      <c r="AM30" s="81">
        <v>0</v>
      </c>
      <c r="AN30" s="81">
        <v>189.50386805800801</v>
      </c>
      <c r="AO30" s="81">
        <v>0</v>
      </c>
      <c r="AP30" s="81">
        <v>0</v>
      </c>
      <c r="AQ30" s="81">
        <v>0</v>
      </c>
      <c r="AR30" s="81">
        <v>0</v>
      </c>
      <c r="AS30" s="81">
        <v>0</v>
      </c>
      <c r="AT30" s="82">
        <v>0</v>
      </c>
    </row>
    <row r="31" spans="2:46" ht="12" customHeight="1" x14ac:dyDescent="0.25">
      <c r="B31" s="80" t="s">
        <v>31</v>
      </c>
      <c r="C31" s="81" t="s">
        <v>76</v>
      </c>
      <c r="D31" s="81" t="s">
        <v>32</v>
      </c>
      <c r="E31" s="81" t="s">
        <v>25</v>
      </c>
      <c r="F31" s="81" t="s">
        <v>25</v>
      </c>
      <c r="G31" s="81" t="s">
        <v>412</v>
      </c>
      <c r="H31" s="81" t="s">
        <v>60</v>
      </c>
      <c r="I31" s="81" t="s">
        <v>25</v>
      </c>
      <c r="J31" s="81">
        <v>1964.96</v>
      </c>
      <c r="K31" s="81">
        <v>189.5</v>
      </c>
      <c r="L31" s="81">
        <v>29.815816764317599</v>
      </c>
      <c r="M31" s="81">
        <v>2.1660989805739099</v>
      </c>
      <c r="N31" s="81">
        <v>0</v>
      </c>
      <c r="O31" s="81">
        <v>0</v>
      </c>
      <c r="P31" s="81">
        <v>0</v>
      </c>
      <c r="Q31" s="81">
        <v>84.781232434167094</v>
      </c>
      <c r="R31" s="81">
        <v>13.407485330658499</v>
      </c>
      <c r="S31" s="81">
        <v>0</v>
      </c>
      <c r="T31" s="81">
        <v>0</v>
      </c>
      <c r="U31" s="81">
        <v>0</v>
      </c>
      <c r="V31" s="81">
        <v>0</v>
      </c>
      <c r="W31" s="81">
        <v>0</v>
      </c>
      <c r="X31" s="81">
        <v>442.64309920072498</v>
      </c>
      <c r="Y31" s="81">
        <v>0</v>
      </c>
      <c r="Z31" s="81">
        <v>0</v>
      </c>
      <c r="AA31" s="81">
        <v>1379.82365707644</v>
      </c>
      <c r="AB31" s="81">
        <v>0</v>
      </c>
      <c r="AC31" s="81">
        <v>0</v>
      </c>
      <c r="AD31" s="81">
        <v>0</v>
      </c>
      <c r="AE31" s="81">
        <v>12.323696161991201</v>
      </c>
      <c r="AF31" s="81">
        <v>0</v>
      </c>
      <c r="AG31" s="81">
        <v>0</v>
      </c>
      <c r="AH31" s="81">
        <v>0</v>
      </c>
      <c r="AI31" s="81">
        <v>0</v>
      </c>
      <c r="AJ31" s="81">
        <v>0</v>
      </c>
      <c r="AK31" s="81">
        <v>0</v>
      </c>
      <c r="AL31" s="81">
        <v>0</v>
      </c>
      <c r="AM31" s="81">
        <v>0</v>
      </c>
      <c r="AN31" s="81">
        <v>189.50386805800801</v>
      </c>
      <c r="AO31" s="81">
        <v>0</v>
      </c>
      <c r="AP31" s="81">
        <v>0</v>
      </c>
      <c r="AQ31" s="81">
        <v>0</v>
      </c>
      <c r="AR31" s="81">
        <v>0</v>
      </c>
      <c r="AS31" s="81">
        <v>0</v>
      </c>
      <c r="AT31" s="82">
        <v>0</v>
      </c>
    </row>
    <row r="32" spans="2:46" ht="12" customHeight="1" x14ac:dyDescent="0.25">
      <c r="B32" s="80" t="s">
        <v>31</v>
      </c>
      <c r="C32" s="81" t="s">
        <v>76</v>
      </c>
      <c r="D32" s="81" t="s">
        <v>32</v>
      </c>
      <c r="E32" s="81" t="s">
        <v>25</v>
      </c>
      <c r="F32" s="81" t="s">
        <v>25</v>
      </c>
      <c r="G32" s="81" t="s">
        <v>409</v>
      </c>
      <c r="H32" s="81" t="s">
        <v>60</v>
      </c>
      <c r="I32" s="81" t="s">
        <v>25</v>
      </c>
      <c r="J32" s="81">
        <v>1235.94</v>
      </c>
      <c r="K32" s="81">
        <v>189.5</v>
      </c>
      <c r="L32" s="81">
        <v>29.815816764317599</v>
      </c>
      <c r="M32" s="81">
        <v>2.1660989805739099</v>
      </c>
      <c r="N32" s="81">
        <v>0</v>
      </c>
      <c r="O32" s="81">
        <v>0</v>
      </c>
      <c r="P32" s="81">
        <v>0</v>
      </c>
      <c r="Q32" s="81">
        <v>84.781232434167094</v>
      </c>
      <c r="R32" s="81">
        <v>13.407485330658499</v>
      </c>
      <c r="S32" s="81">
        <v>0</v>
      </c>
      <c r="T32" s="81">
        <v>0</v>
      </c>
      <c r="U32" s="81">
        <v>0</v>
      </c>
      <c r="V32" s="81">
        <v>0</v>
      </c>
      <c r="W32" s="81">
        <v>0</v>
      </c>
      <c r="X32" s="81">
        <v>265.55628351657401</v>
      </c>
      <c r="Y32" s="81">
        <v>0</v>
      </c>
      <c r="Z32" s="81">
        <v>0</v>
      </c>
      <c r="AA32" s="81">
        <v>827.89390012500996</v>
      </c>
      <c r="AB32" s="81">
        <v>0</v>
      </c>
      <c r="AC32" s="81">
        <v>0</v>
      </c>
      <c r="AD32" s="81">
        <v>0</v>
      </c>
      <c r="AE32" s="81">
        <v>12.323696161991201</v>
      </c>
      <c r="AF32" s="81">
        <v>0</v>
      </c>
      <c r="AG32" s="81">
        <v>0</v>
      </c>
      <c r="AH32" s="81">
        <v>0</v>
      </c>
      <c r="AI32" s="81">
        <v>0</v>
      </c>
      <c r="AJ32" s="81">
        <v>0</v>
      </c>
      <c r="AK32" s="81">
        <v>0</v>
      </c>
      <c r="AL32" s="81">
        <v>0</v>
      </c>
      <c r="AM32" s="81">
        <v>0</v>
      </c>
      <c r="AN32" s="81">
        <v>189.50386805800801</v>
      </c>
      <c r="AO32" s="81">
        <v>0</v>
      </c>
      <c r="AP32" s="81">
        <v>0</v>
      </c>
      <c r="AQ32" s="81">
        <v>0</v>
      </c>
      <c r="AR32" s="81">
        <v>0</v>
      </c>
      <c r="AS32" s="81">
        <v>0</v>
      </c>
      <c r="AT32" s="82">
        <v>0</v>
      </c>
    </row>
    <row r="33" spans="2:46" ht="12" customHeight="1" x14ac:dyDescent="0.25">
      <c r="B33" s="80" t="s">
        <v>31</v>
      </c>
      <c r="C33" s="81" t="s">
        <v>76</v>
      </c>
      <c r="D33" s="81" t="s">
        <v>32</v>
      </c>
      <c r="E33" s="81" t="s">
        <v>25</v>
      </c>
      <c r="F33" s="81" t="s">
        <v>25</v>
      </c>
      <c r="G33" s="81" t="s">
        <v>414</v>
      </c>
      <c r="H33" s="81" t="s">
        <v>60</v>
      </c>
      <c r="I33" s="81" t="s">
        <v>25</v>
      </c>
      <c r="J33" s="81">
        <v>506.93</v>
      </c>
      <c r="K33" s="81">
        <v>189.5</v>
      </c>
      <c r="L33" s="81">
        <v>29.815816764317599</v>
      </c>
      <c r="M33" s="81">
        <v>2.1660989805739099</v>
      </c>
      <c r="N33" s="81">
        <v>0</v>
      </c>
      <c r="O33" s="81">
        <v>0</v>
      </c>
      <c r="P33" s="81">
        <v>0</v>
      </c>
      <c r="Q33" s="81">
        <v>84.781232434167094</v>
      </c>
      <c r="R33" s="81">
        <v>13.407485330658499</v>
      </c>
      <c r="S33" s="81">
        <v>0</v>
      </c>
      <c r="T33" s="81">
        <v>0</v>
      </c>
      <c r="U33" s="81">
        <v>0</v>
      </c>
      <c r="V33" s="81">
        <v>0</v>
      </c>
      <c r="W33" s="81">
        <v>0</v>
      </c>
      <c r="X33" s="81">
        <v>88.469358372749795</v>
      </c>
      <c r="Y33" s="81">
        <v>0</v>
      </c>
      <c r="Z33" s="81">
        <v>0</v>
      </c>
      <c r="AA33" s="81">
        <v>275.96466838939102</v>
      </c>
      <c r="AB33" s="81">
        <v>0</v>
      </c>
      <c r="AC33" s="81">
        <v>0</v>
      </c>
      <c r="AD33" s="81">
        <v>0</v>
      </c>
      <c r="AE33" s="81">
        <v>12.323696161991201</v>
      </c>
      <c r="AF33" s="81">
        <v>0</v>
      </c>
      <c r="AG33" s="81">
        <v>0</v>
      </c>
      <c r="AH33" s="81">
        <v>0</v>
      </c>
      <c r="AI33" s="81">
        <v>0</v>
      </c>
      <c r="AJ33" s="81">
        <v>0</v>
      </c>
      <c r="AK33" s="81">
        <v>0</v>
      </c>
      <c r="AL33" s="81">
        <v>0</v>
      </c>
      <c r="AM33" s="81">
        <v>0</v>
      </c>
      <c r="AN33" s="81">
        <v>189.50386805800801</v>
      </c>
      <c r="AO33" s="81">
        <v>0</v>
      </c>
      <c r="AP33" s="81">
        <v>0</v>
      </c>
      <c r="AQ33" s="81">
        <v>0</v>
      </c>
      <c r="AR33" s="81">
        <v>0</v>
      </c>
      <c r="AS33" s="81">
        <v>0</v>
      </c>
      <c r="AT33" s="82">
        <v>0</v>
      </c>
    </row>
    <row r="34" spans="2:46" ht="12" customHeight="1" x14ac:dyDescent="0.25">
      <c r="B34" s="80" t="s">
        <v>31</v>
      </c>
      <c r="C34" s="81" t="s">
        <v>76</v>
      </c>
      <c r="D34" s="81" t="s">
        <v>32</v>
      </c>
      <c r="E34" s="81" t="s">
        <v>80</v>
      </c>
      <c r="F34" s="81" t="s">
        <v>25</v>
      </c>
      <c r="G34" s="81" t="s">
        <v>412</v>
      </c>
      <c r="H34" s="81" t="s">
        <v>60</v>
      </c>
      <c r="I34" s="81" t="s">
        <v>25</v>
      </c>
      <c r="J34" s="81">
        <v>1923.15</v>
      </c>
      <c r="K34" s="81">
        <v>185.47</v>
      </c>
      <c r="L34" s="81">
        <v>29.181437684225699</v>
      </c>
      <c r="M34" s="81">
        <v>2.12001176822127</v>
      </c>
      <c r="N34" s="81">
        <v>0</v>
      </c>
      <c r="O34" s="81">
        <v>0</v>
      </c>
      <c r="P34" s="81">
        <v>0</v>
      </c>
      <c r="Q34" s="81">
        <v>82.977376424929503</v>
      </c>
      <c r="R34" s="81">
        <v>13.122219685325399</v>
      </c>
      <c r="S34" s="81">
        <v>0</v>
      </c>
      <c r="T34" s="81">
        <v>0</v>
      </c>
      <c r="U34" s="81">
        <v>0</v>
      </c>
      <c r="V34" s="81">
        <v>0</v>
      </c>
      <c r="W34" s="81">
        <v>0</v>
      </c>
      <c r="X34" s="81">
        <v>433.22516091985801</v>
      </c>
      <c r="Y34" s="81">
        <v>0</v>
      </c>
      <c r="Z34" s="81">
        <v>0</v>
      </c>
      <c r="AA34" s="81">
        <v>1350.4657069258801</v>
      </c>
      <c r="AB34" s="81">
        <v>0</v>
      </c>
      <c r="AC34" s="81">
        <v>0</v>
      </c>
      <c r="AD34" s="81">
        <v>0</v>
      </c>
      <c r="AE34" s="81">
        <v>12.0614898606722</v>
      </c>
      <c r="AF34" s="81">
        <v>0</v>
      </c>
      <c r="AG34" s="81">
        <v>0</v>
      </c>
      <c r="AH34" s="81">
        <v>0</v>
      </c>
      <c r="AI34" s="81">
        <v>0</v>
      </c>
      <c r="AJ34" s="81">
        <v>0</v>
      </c>
      <c r="AK34" s="81">
        <v>0</v>
      </c>
      <c r="AL34" s="81">
        <v>0</v>
      </c>
      <c r="AM34" s="81">
        <v>0</v>
      </c>
      <c r="AN34" s="81">
        <v>185.47187086528501</v>
      </c>
      <c r="AO34" s="81">
        <v>0</v>
      </c>
      <c r="AP34" s="81">
        <v>0</v>
      </c>
      <c r="AQ34" s="81">
        <v>0</v>
      </c>
      <c r="AR34" s="81">
        <v>0</v>
      </c>
      <c r="AS34" s="81">
        <v>0</v>
      </c>
      <c r="AT34" s="82">
        <v>0</v>
      </c>
    </row>
    <row r="35" spans="2:46" ht="12" customHeight="1" x14ac:dyDescent="0.25">
      <c r="B35" s="80" t="s">
        <v>31</v>
      </c>
      <c r="C35" s="81" t="s">
        <v>76</v>
      </c>
      <c r="D35" s="81" t="s">
        <v>32</v>
      </c>
      <c r="E35" s="81" t="s">
        <v>80</v>
      </c>
      <c r="F35" s="81" t="s">
        <v>25</v>
      </c>
      <c r="G35" s="81" t="s">
        <v>409</v>
      </c>
      <c r="H35" s="81" t="s">
        <v>60</v>
      </c>
      <c r="I35" s="81" t="s">
        <v>25</v>
      </c>
      <c r="J35" s="81">
        <v>1209.6500000000001</v>
      </c>
      <c r="K35" s="81">
        <v>185.47</v>
      </c>
      <c r="L35" s="81">
        <v>29.181437684225699</v>
      </c>
      <c r="M35" s="81">
        <v>2.12001176822127</v>
      </c>
      <c r="N35" s="81">
        <v>0</v>
      </c>
      <c r="O35" s="81">
        <v>0</v>
      </c>
      <c r="P35" s="81">
        <v>0</v>
      </c>
      <c r="Q35" s="81">
        <v>82.977376424929503</v>
      </c>
      <c r="R35" s="81">
        <v>13.122219685325399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259.90614982473198</v>
      </c>
      <c r="Y35" s="81">
        <v>0</v>
      </c>
      <c r="Z35" s="81">
        <v>0</v>
      </c>
      <c r="AA35" s="81">
        <v>810.27913629256295</v>
      </c>
      <c r="AB35" s="81">
        <v>0</v>
      </c>
      <c r="AC35" s="81">
        <v>0</v>
      </c>
      <c r="AD35" s="81">
        <v>0</v>
      </c>
      <c r="AE35" s="81">
        <v>12.0614898606722</v>
      </c>
      <c r="AF35" s="81">
        <v>0</v>
      </c>
      <c r="AG35" s="81">
        <v>0</v>
      </c>
      <c r="AH35" s="81">
        <v>0</v>
      </c>
      <c r="AI35" s="81">
        <v>0</v>
      </c>
      <c r="AJ35" s="81">
        <v>0</v>
      </c>
      <c r="AK35" s="81">
        <v>0</v>
      </c>
      <c r="AL35" s="81">
        <v>0</v>
      </c>
      <c r="AM35" s="81">
        <v>0</v>
      </c>
      <c r="AN35" s="81">
        <v>185.47187086528501</v>
      </c>
      <c r="AO35" s="81">
        <v>0</v>
      </c>
      <c r="AP35" s="81">
        <v>0</v>
      </c>
      <c r="AQ35" s="81">
        <v>0</v>
      </c>
      <c r="AR35" s="81">
        <v>0</v>
      </c>
      <c r="AS35" s="81">
        <v>0</v>
      </c>
      <c r="AT35" s="82">
        <v>0</v>
      </c>
    </row>
    <row r="36" spans="2:46" ht="12" customHeight="1" x14ac:dyDescent="0.25">
      <c r="B36" s="80" t="s">
        <v>31</v>
      </c>
      <c r="C36" s="81" t="s">
        <v>76</v>
      </c>
      <c r="D36" s="81" t="s">
        <v>32</v>
      </c>
      <c r="E36" s="81" t="s">
        <v>80</v>
      </c>
      <c r="F36" s="81" t="s">
        <v>25</v>
      </c>
      <c r="G36" s="81" t="s">
        <v>414</v>
      </c>
      <c r="H36" s="81" t="s">
        <v>60</v>
      </c>
      <c r="I36" s="81" t="s">
        <v>25</v>
      </c>
      <c r="J36" s="81">
        <v>496.14</v>
      </c>
      <c r="K36" s="81">
        <v>185.47</v>
      </c>
      <c r="L36" s="81">
        <v>29.181437684225699</v>
      </c>
      <c r="M36" s="81">
        <v>2.12001176822127</v>
      </c>
      <c r="N36" s="81">
        <v>0</v>
      </c>
      <c r="O36" s="81">
        <v>0</v>
      </c>
      <c r="P36" s="81">
        <v>0</v>
      </c>
      <c r="Q36" s="81">
        <v>82.977376424929503</v>
      </c>
      <c r="R36" s="81">
        <v>13.122219685325399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86.5870315988615</v>
      </c>
      <c r="Y36" s="81">
        <v>0</v>
      </c>
      <c r="Z36" s="81">
        <v>0</v>
      </c>
      <c r="AA36" s="81">
        <v>270.09307970025498</v>
      </c>
      <c r="AB36" s="81">
        <v>0</v>
      </c>
      <c r="AC36" s="81">
        <v>0</v>
      </c>
      <c r="AD36" s="81">
        <v>0</v>
      </c>
      <c r="AE36" s="81">
        <v>12.0614898606722</v>
      </c>
      <c r="AF36" s="81">
        <v>0</v>
      </c>
      <c r="AG36" s="81">
        <v>0</v>
      </c>
      <c r="AH36" s="81">
        <v>0</v>
      </c>
      <c r="AI36" s="81">
        <v>0</v>
      </c>
      <c r="AJ36" s="81">
        <v>0</v>
      </c>
      <c r="AK36" s="81">
        <v>0</v>
      </c>
      <c r="AL36" s="81">
        <v>0</v>
      </c>
      <c r="AM36" s="81">
        <v>0</v>
      </c>
      <c r="AN36" s="81">
        <v>185.47187086528501</v>
      </c>
      <c r="AO36" s="81">
        <v>0</v>
      </c>
      <c r="AP36" s="81">
        <v>0</v>
      </c>
      <c r="AQ36" s="81">
        <v>0</v>
      </c>
      <c r="AR36" s="81">
        <v>0</v>
      </c>
      <c r="AS36" s="81">
        <v>0</v>
      </c>
      <c r="AT36" s="82">
        <v>0</v>
      </c>
    </row>
    <row r="37" spans="2:46" ht="12" customHeight="1" x14ac:dyDescent="0.25">
      <c r="B37" s="80" t="s">
        <v>31</v>
      </c>
      <c r="C37" s="81" t="s">
        <v>23</v>
      </c>
      <c r="D37" s="81" t="s">
        <v>32</v>
      </c>
      <c r="E37" s="81" t="s">
        <v>79</v>
      </c>
      <c r="F37" s="81" t="s">
        <v>25</v>
      </c>
      <c r="G37" s="81" t="s">
        <v>25</v>
      </c>
      <c r="H37" s="81" t="s">
        <v>60</v>
      </c>
      <c r="I37" s="81" t="s">
        <v>25</v>
      </c>
      <c r="J37" s="81">
        <v>760.27</v>
      </c>
      <c r="K37" s="81">
        <v>189.5</v>
      </c>
      <c r="L37" s="81">
        <v>29.815816764317599</v>
      </c>
      <c r="M37" s="81">
        <v>2.1660989805739099</v>
      </c>
      <c r="N37" s="81">
        <v>0</v>
      </c>
      <c r="O37" s="81">
        <v>0</v>
      </c>
      <c r="P37" s="81">
        <v>0</v>
      </c>
      <c r="Q37" s="81">
        <v>84.781232434167094</v>
      </c>
      <c r="R37" s="81">
        <v>13.407485330658499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150.04228569946699</v>
      </c>
      <c r="Y37" s="81">
        <v>0</v>
      </c>
      <c r="Z37" s="81">
        <v>0</v>
      </c>
      <c r="AA37" s="81">
        <v>467.73682222491198</v>
      </c>
      <c r="AB37" s="81">
        <v>0</v>
      </c>
      <c r="AC37" s="81">
        <v>0</v>
      </c>
      <c r="AD37" s="81">
        <v>0</v>
      </c>
      <c r="AE37" s="81">
        <v>12.323696161991201</v>
      </c>
      <c r="AF37" s="81">
        <v>0</v>
      </c>
      <c r="AG37" s="81">
        <v>0</v>
      </c>
      <c r="AH37" s="81">
        <v>0</v>
      </c>
      <c r="AI37" s="81">
        <v>0</v>
      </c>
      <c r="AJ37" s="81">
        <v>0</v>
      </c>
      <c r="AK37" s="81">
        <v>0</v>
      </c>
      <c r="AL37" s="81">
        <v>0</v>
      </c>
      <c r="AM37" s="81">
        <v>0</v>
      </c>
      <c r="AN37" s="81">
        <v>189.50386805800801</v>
      </c>
      <c r="AO37" s="81">
        <v>0</v>
      </c>
      <c r="AP37" s="81">
        <v>0</v>
      </c>
      <c r="AQ37" s="81">
        <v>0</v>
      </c>
      <c r="AR37" s="81">
        <v>0</v>
      </c>
      <c r="AS37" s="81">
        <v>0</v>
      </c>
      <c r="AT37" s="82">
        <v>0</v>
      </c>
    </row>
    <row r="38" spans="2:46" ht="12" customHeight="1" x14ac:dyDescent="0.25">
      <c r="B38" s="80" t="s">
        <v>31</v>
      </c>
      <c r="C38" s="81" t="s">
        <v>23</v>
      </c>
      <c r="D38" s="81" t="s">
        <v>32</v>
      </c>
      <c r="E38" s="81" t="s">
        <v>25</v>
      </c>
      <c r="F38" s="81" t="s">
        <v>25</v>
      </c>
      <c r="G38" s="81" t="s">
        <v>25</v>
      </c>
      <c r="H38" s="81" t="s">
        <v>60</v>
      </c>
      <c r="I38" s="81" t="s">
        <v>25</v>
      </c>
      <c r="J38" s="81">
        <v>760.27</v>
      </c>
      <c r="K38" s="81">
        <v>189.5</v>
      </c>
      <c r="L38" s="81">
        <v>29.815816764317599</v>
      </c>
      <c r="M38" s="81">
        <v>2.1660989805739099</v>
      </c>
      <c r="N38" s="81">
        <v>0</v>
      </c>
      <c r="O38" s="81">
        <v>0</v>
      </c>
      <c r="P38" s="81">
        <v>0</v>
      </c>
      <c r="Q38" s="81">
        <v>84.781232434167094</v>
      </c>
      <c r="R38" s="81">
        <v>13.407485330658499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X38" s="81">
        <v>150.04228569946699</v>
      </c>
      <c r="Y38" s="81">
        <v>0</v>
      </c>
      <c r="Z38" s="81">
        <v>0</v>
      </c>
      <c r="AA38" s="81">
        <v>467.73682222491198</v>
      </c>
      <c r="AB38" s="81">
        <v>0</v>
      </c>
      <c r="AC38" s="81">
        <v>0</v>
      </c>
      <c r="AD38" s="81">
        <v>0</v>
      </c>
      <c r="AE38" s="81">
        <v>12.323696161991201</v>
      </c>
      <c r="AF38" s="81">
        <v>0</v>
      </c>
      <c r="AG38" s="81">
        <v>0</v>
      </c>
      <c r="AH38" s="81">
        <v>0</v>
      </c>
      <c r="AI38" s="81">
        <v>0</v>
      </c>
      <c r="AJ38" s="81">
        <v>0</v>
      </c>
      <c r="AK38" s="81">
        <v>0</v>
      </c>
      <c r="AL38" s="81">
        <v>0</v>
      </c>
      <c r="AM38" s="81">
        <v>0</v>
      </c>
      <c r="AN38" s="81">
        <v>189.50386805800801</v>
      </c>
      <c r="AO38" s="81">
        <v>0</v>
      </c>
      <c r="AP38" s="81">
        <v>0</v>
      </c>
      <c r="AQ38" s="81">
        <v>0</v>
      </c>
      <c r="AR38" s="81">
        <v>0</v>
      </c>
      <c r="AS38" s="81">
        <v>0</v>
      </c>
      <c r="AT38" s="82">
        <v>0</v>
      </c>
    </row>
    <row r="39" spans="2:46" ht="12" customHeight="1" x14ac:dyDescent="0.25">
      <c r="B39" s="80" t="s">
        <v>31</v>
      </c>
      <c r="C39" s="81" t="s">
        <v>23</v>
      </c>
      <c r="D39" s="81" t="s">
        <v>32</v>
      </c>
      <c r="E39" s="81" t="s">
        <v>80</v>
      </c>
      <c r="F39" s="81" t="s">
        <v>25</v>
      </c>
      <c r="G39" s="81" t="s">
        <v>25</v>
      </c>
      <c r="H39" s="81" t="s">
        <v>60</v>
      </c>
      <c r="I39" s="81" t="s">
        <v>25</v>
      </c>
      <c r="J39" s="81">
        <v>744.1</v>
      </c>
      <c r="K39" s="81">
        <v>185.47</v>
      </c>
      <c r="L39" s="81">
        <v>29.181437684225699</v>
      </c>
      <c r="M39" s="81">
        <v>2.12001176822127</v>
      </c>
      <c r="N39" s="81">
        <v>0</v>
      </c>
      <c r="O39" s="81">
        <v>0</v>
      </c>
      <c r="P39" s="81">
        <v>0</v>
      </c>
      <c r="Q39" s="81">
        <v>82.977376424929503</v>
      </c>
      <c r="R39" s="81">
        <v>13.122219685325399</v>
      </c>
      <c r="S39" s="81">
        <v>0</v>
      </c>
      <c r="T39" s="81">
        <v>0</v>
      </c>
      <c r="U39" s="81">
        <v>0</v>
      </c>
      <c r="V39" s="81">
        <v>0</v>
      </c>
      <c r="W39" s="81">
        <v>0</v>
      </c>
      <c r="X39" s="81">
        <v>146.84989664203201</v>
      </c>
      <c r="Y39" s="81">
        <v>0</v>
      </c>
      <c r="Z39" s="81">
        <v>0</v>
      </c>
      <c r="AA39" s="81">
        <v>457.78497494353098</v>
      </c>
      <c r="AB39" s="81">
        <v>0</v>
      </c>
      <c r="AC39" s="81">
        <v>0</v>
      </c>
      <c r="AD39" s="81">
        <v>0</v>
      </c>
      <c r="AE39" s="81">
        <v>12.0614898606722</v>
      </c>
      <c r="AF39" s="81">
        <v>0</v>
      </c>
      <c r="AG39" s="81">
        <v>0</v>
      </c>
      <c r="AH39" s="81">
        <v>0</v>
      </c>
      <c r="AI39" s="81">
        <v>0</v>
      </c>
      <c r="AJ39" s="81">
        <v>0</v>
      </c>
      <c r="AK39" s="81">
        <v>0</v>
      </c>
      <c r="AL39" s="81">
        <v>0</v>
      </c>
      <c r="AM39" s="81">
        <v>0</v>
      </c>
      <c r="AN39" s="81">
        <v>185.47187086528501</v>
      </c>
      <c r="AO39" s="81">
        <v>0</v>
      </c>
      <c r="AP39" s="81">
        <v>0</v>
      </c>
      <c r="AQ39" s="81">
        <v>0</v>
      </c>
      <c r="AR39" s="81">
        <v>0</v>
      </c>
      <c r="AS39" s="81">
        <v>0</v>
      </c>
      <c r="AT39" s="82">
        <v>0</v>
      </c>
    </row>
    <row r="40" spans="2:46" ht="12" customHeight="1" x14ac:dyDescent="0.25">
      <c r="B40" s="80" t="s">
        <v>31</v>
      </c>
      <c r="C40" s="81" t="s">
        <v>78</v>
      </c>
      <c r="D40" s="81" t="s">
        <v>32</v>
      </c>
      <c r="E40" s="81" t="s">
        <v>79</v>
      </c>
      <c r="F40" s="81" t="s">
        <v>25</v>
      </c>
      <c r="G40" s="81" t="s">
        <v>25</v>
      </c>
      <c r="H40" s="81" t="s">
        <v>60</v>
      </c>
      <c r="I40" s="81" t="s">
        <v>25</v>
      </c>
      <c r="J40" s="81">
        <v>760.27</v>
      </c>
      <c r="K40" s="81">
        <v>189.5</v>
      </c>
      <c r="L40" s="81">
        <v>29.815816764317599</v>
      </c>
      <c r="M40" s="81">
        <v>2.1660989805739099</v>
      </c>
      <c r="N40" s="81">
        <v>0</v>
      </c>
      <c r="O40" s="81">
        <v>0</v>
      </c>
      <c r="P40" s="81">
        <v>0</v>
      </c>
      <c r="Q40" s="81">
        <v>84.781232434167094</v>
      </c>
      <c r="R40" s="81">
        <v>13.407485330658499</v>
      </c>
      <c r="S40" s="81">
        <v>0</v>
      </c>
      <c r="T40" s="81">
        <v>0</v>
      </c>
      <c r="U40" s="81">
        <v>0</v>
      </c>
      <c r="V40" s="81">
        <v>0</v>
      </c>
      <c r="W40" s="81">
        <v>0</v>
      </c>
      <c r="X40" s="81">
        <v>150.04228569946699</v>
      </c>
      <c r="Y40" s="81">
        <v>0</v>
      </c>
      <c r="Z40" s="81">
        <v>0</v>
      </c>
      <c r="AA40" s="81">
        <v>467.73682222491198</v>
      </c>
      <c r="AB40" s="81">
        <v>0</v>
      </c>
      <c r="AC40" s="81">
        <v>0</v>
      </c>
      <c r="AD40" s="81">
        <v>0</v>
      </c>
      <c r="AE40" s="81">
        <v>12.323696161991201</v>
      </c>
      <c r="AF40" s="81">
        <v>0</v>
      </c>
      <c r="AG40" s="81">
        <v>0</v>
      </c>
      <c r="AH40" s="81">
        <v>0</v>
      </c>
      <c r="AI40" s="81">
        <v>0</v>
      </c>
      <c r="AJ40" s="81">
        <v>0</v>
      </c>
      <c r="AK40" s="81">
        <v>0</v>
      </c>
      <c r="AL40" s="81">
        <v>0</v>
      </c>
      <c r="AM40" s="81">
        <v>0</v>
      </c>
      <c r="AN40" s="81">
        <v>189.50386805800801</v>
      </c>
      <c r="AO40" s="81">
        <v>0</v>
      </c>
      <c r="AP40" s="81">
        <v>0</v>
      </c>
      <c r="AQ40" s="81">
        <v>0</v>
      </c>
      <c r="AR40" s="81">
        <v>0</v>
      </c>
      <c r="AS40" s="81">
        <v>0</v>
      </c>
      <c r="AT40" s="82">
        <v>0</v>
      </c>
    </row>
    <row r="41" spans="2:46" ht="12" customHeight="1" x14ac:dyDescent="0.25">
      <c r="B41" s="80" t="s">
        <v>31</v>
      </c>
      <c r="C41" s="81" t="s">
        <v>78</v>
      </c>
      <c r="D41" s="81" t="s">
        <v>32</v>
      </c>
      <c r="E41" s="81" t="s">
        <v>25</v>
      </c>
      <c r="F41" s="81" t="s">
        <v>25</v>
      </c>
      <c r="G41" s="81" t="s">
        <v>25</v>
      </c>
      <c r="H41" s="81" t="s">
        <v>60</v>
      </c>
      <c r="I41" s="81" t="s">
        <v>25</v>
      </c>
      <c r="J41" s="81">
        <v>760.27</v>
      </c>
      <c r="K41" s="81">
        <v>189.5</v>
      </c>
      <c r="L41" s="81">
        <v>29.815816764317599</v>
      </c>
      <c r="M41" s="81">
        <v>2.1660989805739099</v>
      </c>
      <c r="N41" s="81">
        <v>0</v>
      </c>
      <c r="O41" s="81">
        <v>0</v>
      </c>
      <c r="P41" s="81">
        <v>0</v>
      </c>
      <c r="Q41" s="81">
        <v>84.781232434167094</v>
      </c>
      <c r="R41" s="81">
        <v>13.407485330658499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X41" s="81">
        <v>150.04228569946699</v>
      </c>
      <c r="Y41" s="81">
        <v>0</v>
      </c>
      <c r="Z41" s="81">
        <v>0</v>
      </c>
      <c r="AA41" s="81">
        <v>467.73682222491198</v>
      </c>
      <c r="AB41" s="81">
        <v>0</v>
      </c>
      <c r="AC41" s="81">
        <v>0</v>
      </c>
      <c r="AD41" s="81">
        <v>0</v>
      </c>
      <c r="AE41" s="81">
        <v>12.323696161991201</v>
      </c>
      <c r="AF41" s="81">
        <v>0</v>
      </c>
      <c r="AG41" s="81">
        <v>0</v>
      </c>
      <c r="AH41" s="81">
        <v>0</v>
      </c>
      <c r="AI41" s="81">
        <v>0</v>
      </c>
      <c r="AJ41" s="81">
        <v>0</v>
      </c>
      <c r="AK41" s="81">
        <v>0</v>
      </c>
      <c r="AL41" s="81">
        <v>0</v>
      </c>
      <c r="AM41" s="81">
        <v>0</v>
      </c>
      <c r="AN41" s="81">
        <v>189.50386805800801</v>
      </c>
      <c r="AO41" s="81">
        <v>0</v>
      </c>
      <c r="AP41" s="81">
        <v>0</v>
      </c>
      <c r="AQ41" s="81">
        <v>0</v>
      </c>
      <c r="AR41" s="81">
        <v>0</v>
      </c>
      <c r="AS41" s="81">
        <v>0</v>
      </c>
      <c r="AT41" s="82">
        <v>0</v>
      </c>
    </row>
    <row r="42" spans="2:46" ht="12" customHeight="1" x14ac:dyDescent="0.25">
      <c r="B42" s="80" t="s">
        <v>31</v>
      </c>
      <c r="C42" s="81" t="s">
        <v>78</v>
      </c>
      <c r="D42" s="81" t="s">
        <v>32</v>
      </c>
      <c r="E42" s="81" t="s">
        <v>80</v>
      </c>
      <c r="F42" s="81" t="s">
        <v>25</v>
      </c>
      <c r="G42" s="81" t="s">
        <v>25</v>
      </c>
      <c r="H42" s="81" t="s">
        <v>60</v>
      </c>
      <c r="I42" s="81" t="s">
        <v>25</v>
      </c>
      <c r="J42" s="81">
        <v>744.1</v>
      </c>
      <c r="K42" s="81">
        <v>185.47</v>
      </c>
      <c r="L42" s="81">
        <v>29.181437684225699</v>
      </c>
      <c r="M42" s="81">
        <v>2.12001176822127</v>
      </c>
      <c r="N42" s="81">
        <v>0</v>
      </c>
      <c r="O42" s="81">
        <v>0</v>
      </c>
      <c r="P42" s="81">
        <v>0</v>
      </c>
      <c r="Q42" s="81">
        <v>82.977376424929503</v>
      </c>
      <c r="R42" s="81">
        <v>13.122219685325399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X42" s="81">
        <v>146.84989664203201</v>
      </c>
      <c r="Y42" s="81">
        <v>0</v>
      </c>
      <c r="Z42" s="81">
        <v>0</v>
      </c>
      <c r="AA42" s="81">
        <v>457.78497494353098</v>
      </c>
      <c r="AB42" s="81">
        <v>0</v>
      </c>
      <c r="AC42" s="81">
        <v>0</v>
      </c>
      <c r="AD42" s="81">
        <v>0</v>
      </c>
      <c r="AE42" s="81">
        <v>12.0614898606722</v>
      </c>
      <c r="AF42" s="81">
        <v>0</v>
      </c>
      <c r="AG42" s="81">
        <v>0</v>
      </c>
      <c r="AH42" s="81">
        <v>0</v>
      </c>
      <c r="AI42" s="81">
        <v>0</v>
      </c>
      <c r="AJ42" s="81">
        <v>0</v>
      </c>
      <c r="AK42" s="81">
        <v>0</v>
      </c>
      <c r="AL42" s="81">
        <v>0</v>
      </c>
      <c r="AM42" s="81">
        <v>0</v>
      </c>
      <c r="AN42" s="81">
        <v>185.47187086528501</v>
      </c>
      <c r="AO42" s="81">
        <v>0</v>
      </c>
      <c r="AP42" s="81">
        <v>0</v>
      </c>
      <c r="AQ42" s="81">
        <v>0</v>
      </c>
      <c r="AR42" s="81">
        <v>0</v>
      </c>
      <c r="AS42" s="81">
        <v>0</v>
      </c>
      <c r="AT42" s="82">
        <v>0</v>
      </c>
    </row>
    <row r="43" spans="2:46" ht="12" customHeight="1" x14ac:dyDescent="0.25">
      <c r="B43" s="80" t="s">
        <v>28</v>
      </c>
      <c r="C43" s="81" t="s">
        <v>76</v>
      </c>
      <c r="D43" s="81" t="s">
        <v>25</v>
      </c>
      <c r="E43" s="81" t="s">
        <v>25</v>
      </c>
      <c r="F43" s="81" t="s">
        <v>25</v>
      </c>
      <c r="G43" s="81" t="s">
        <v>412</v>
      </c>
      <c r="H43" s="81" t="s">
        <v>60</v>
      </c>
      <c r="I43" s="81" t="s">
        <v>25</v>
      </c>
      <c r="J43" s="81">
        <v>2419.11</v>
      </c>
      <c r="K43" s="81">
        <v>201.6</v>
      </c>
      <c r="L43" s="81">
        <v>31.718954004593201</v>
      </c>
      <c r="M43" s="81">
        <v>2.3043606176318101</v>
      </c>
      <c r="N43" s="81">
        <v>0</v>
      </c>
      <c r="O43" s="81">
        <v>0</v>
      </c>
      <c r="P43" s="81">
        <v>0</v>
      </c>
      <c r="Q43" s="81">
        <v>90.192800461879798</v>
      </c>
      <c r="R43" s="81">
        <v>14.263282266658001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X43" s="81">
        <v>550.82495008408398</v>
      </c>
      <c r="Y43" s="81">
        <v>0</v>
      </c>
      <c r="Z43" s="81">
        <v>0</v>
      </c>
      <c r="AA43" s="81">
        <v>1716.69313082243</v>
      </c>
      <c r="AB43" s="81">
        <v>0</v>
      </c>
      <c r="AC43" s="81">
        <v>0</v>
      </c>
      <c r="AD43" s="81">
        <v>0</v>
      </c>
      <c r="AE43" s="81">
        <v>13.1103150659481</v>
      </c>
      <c r="AF43" s="81">
        <v>0</v>
      </c>
      <c r="AG43" s="81">
        <v>0</v>
      </c>
      <c r="AH43" s="81">
        <v>0</v>
      </c>
      <c r="AI43" s="81">
        <v>0</v>
      </c>
      <c r="AJ43" s="81">
        <v>0</v>
      </c>
      <c r="AK43" s="81">
        <v>0</v>
      </c>
      <c r="AL43" s="81">
        <v>0</v>
      </c>
      <c r="AM43" s="81">
        <v>0</v>
      </c>
      <c r="AN43" s="81">
        <v>201.59985963617899</v>
      </c>
      <c r="AO43" s="81">
        <v>0</v>
      </c>
      <c r="AP43" s="81">
        <v>0</v>
      </c>
      <c r="AQ43" s="81">
        <v>0</v>
      </c>
      <c r="AR43" s="81">
        <v>0</v>
      </c>
      <c r="AS43" s="81">
        <v>0</v>
      </c>
      <c r="AT43" s="82">
        <v>0</v>
      </c>
    </row>
    <row r="44" spans="2:46" ht="12" customHeight="1" x14ac:dyDescent="0.25">
      <c r="B44" s="80" t="s">
        <v>28</v>
      </c>
      <c r="C44" s="81" t="s">
        <v>76</v>
      </c>
      <c r="D44" s="81" t="s">
        <v>25</v>
      </c>
      <c r="E44" s="81" t="s">
        <v>25</v>
      </c>
      <c r="F44" s="81" t="s">
        <v>25</v>
      </c>
      <c r="G44" s="81" t="s">
        <v>409</v>
      </c>
      <c r="H44" s="81" t="s">
        <v>60</v>
      </c>
      <c r="I44" s="81" t="s">
        <v>25</v>
      </c>
      <c r="J44" s="81">
        <v>1512.04</v>
      </c>
      <c r="K44" s="81">
        <v>201.6</v>
      </c>
      <c r="L44" s="81">
        <v>31.718954004593201</v>
      </c>
      <c r="M44" s="81">
        <v>2.3043606176318101</v>
      </c>
      <c r="N44" s="81">
        <v>0</v>
      </c>
      <c r="O44" s="81">
        <v>0</v>
      </c>
      <c r="P44" s="81">
        <v>0</v>
      </c>
      <c r="Q44" s="81">
        <v>90.192800461879798</v>
      </c>
      <c r="R44" s="81">
        <v>14.263282266658001</v>
      </c>
      <c r="S44" s="81">
        <v>0</v>
      </c>
      <c r="T44" s="81">
        <v>0</v>
      </c>
      <c r="U44" s="81">
        <v>0</v>
      </c>
      <c r="V44" s="81">
        <v>0</v>
      </c>
      <c r="W44" s="81">
        <v>0</v>
      </c>
      <c r="X44" s="81">
        <v>330.43185606832299</v>
      </c>
      <c r="Y44" s="81">
        <v>0</v>
      </c>
      <c r="Z44" s="81">
        <v>0</v>
      </c>
      <c r="AA44" s="81">
        <v>1030.0158114446299</v>
      </c>
      <c r="AB44" s="81">
        <v>0</v>
      </c>
      <c r="AC44" s="81">
        <v>0</v>
      </c>
      <c r="AD44" s="81">
        <v>0</v>
      </c>
      <c r="AE44" s="81">
        <v>13.1103150659481</v>
      </c>
      <c r="AF44" s="81">
        <v>0</v>
      </c>
      <c r="AG44" s="81">
        <v>0</v>
      </c>
      <c r="AH44" s="81">
        <v>0</v>
      </c>
      <c r="AI44" s="81">
        <v>0</v>
      </c>
      <c r="AJ44" s="81">
        <v>0</v>
      </c>
      <c r="AK44" s="81">
        <v>0</v>
      </c>
      <c r="AL44" s="81">
        <v>0</v>
      </c>
      <c r="AM44" s="81">
        <v>0</v>
      </c>
      <c r="AN44" s="81">
        <v>201.59985963617899</v>
      </c>
      <c r="AO44" s="81">
        <v>0</v>
      </c>
      <c r="AP44" s="81">
        <v>0</v>
      </c>
      <c r="AQ44" s="81">
        <v>0</v>
      </c>
      <c r="AR44" s="81">
        <v>0</v>
      </c>
      <c r="AS44" s="81">
        <v>0</v>
      </c>
      <c r="AT44" s="82">
        <v>0</v>
      </c>
    </row>
    <row r="45" spans="2:46" ht="12" customHeight="1" x14ac:dyDescent="0.25">
      <c r="B45" s="80" t="s">
        <v>28</v>
      </c>
      <c r="C45" s="81" t="s">
        <v>76</v>
      </c>
      <c r="D45" s="81" t="s">
        <v>25</v>
      </c>
      <c r="E45" s="81" t="s">
        <v>25</v>
      </c>
      <c r="F45" s="81" t="s">
        <v>25</v>
      </c>
      <c r="G45" s="81" t="s">
        <v>414</v>
      </c>
      <c r="H45" s="81" t="s">
        <v>60</v>
      </c>
      <c r="I45" s="81" t="s">
        <v>25</v>
      </c>
      <c r="J45" s="81">
        <v>605.04999999999995</v>
      </c>
      <c r="K45" s="81">
        <v>201.6</v>
      </c>
      <c r="L45" s="81">
        <v>31.718954004593201</v>
      </c>
      <c r="M45" s="81">
        <v>2.3043606176318101</v>
      </c>
      <c r="N45" s="81">
        <v>0</v>
      </c>
      <c r="O45" s="81">
        <v>0</v>
      </c>
      <c r="P45" s="81">
        <v>0</v>
      </c>
      <c r="Q45" s="81">
        <v>90.192800461879798</v>
      </c>
      <c r="R45" s="81">
        <v>14.263282266658001</v>
      </c>
      <c r="S45" s="81">
        <v>0</v>
      </c>
      <c r="T45" s="81">
        <v>0</v>
      </c>
      <c r="U45" s="81">
        <v>0</v>
      </c>
      <c r="V45" s="81">
        <v>0</v>
      </c>
      <c r="W45" s="81">
        <v>0</v>
      </c>
      <c r="X45" s="81">
        <v>110.117712753452</v>
      </c>
      <c r="Y45" s="81">
        <v>0</v>
      </c>
      <c r="Z45" s="81">
        <v>0</v>
      </c>
      <c r="AA45" s="81">
        <v>343.33893905901198</v>
      </c>
      <c r="AB45" s="81">
        <v>0</v>
      </c>
      <c r="AC45" s="81">
        <v>0</v>
      </c>
      <c r="AD45" s="81">
        <v>0</v>
      </c>
      <c r="AE45" s="81">
        <v>13.1103150659481</v>
      </c>
      <c r="AF45" s="81">
        <v>0</v>
      </c>
      <c r="AG45" s="81">
        <v>0</v>
      </c>
      <c r="AH45" s="81">
        <v>0</v>
      </c>
      <c r="AI45" s="81">
        <v>0</v>
      </c>
      <c r="AJ45" s="81">
        <v>0</v>
      </c>
      <c r="AK45" s="81">
        <v>0</v>
      </c>
      <c r="AL45" s="81">
        <v>0</v>
      </c>
      <c r="AM45" s="81">
        <v>0</v>
      </c>
      <c r="AN45" s="81">
        <v>201.59985963617899</v>
      </c>
      <c r="AO45" s="81">
        <v>0</v>
      </c>
      <c r="AP45" s="81">
        <v>0</v>
      </c>
      <c r="AQ45" s="81">
        <v>0</v>
      </c>
      <c r="AR45" s="81">
        <v>0</v>
      </c>
      <c r="AS45" s="81">
        <v>0</v>
      </c>
      <c r="AT45" s="82">
        <v>0</v>
      </c>
    </row>
    <row r="46" spans="2:46" ht="12" customHeight="1" x14ac:dyDescent="0.25">
      <c r="B46" s="80" t="s">
        <v>28</v>
      </c>
      <c r="C46" s="81" t="s">
        <v>23</v>
      </c>
      <c r="D46" s="81" t="s">
        <v>25</v>
      </c>
      <c r="E46" s="81" t="s">
        <v>25</v>
      </c>
      <c r="F46" s="81" t="s">
        <v>25</v>
      </c>
      <c r="G46" s="81" t="s">
        <v>25</v>
      </c>
      <c r="H46" s="81" t="s">
        <v>60</v>
      </c>
      <c r="I46" s="81" t="s">
        <v>25</v>
      </c>
      <c r="J46" s="81">
        <v>808.8</v>
      </c>
      <c r="K46" s="81">
        <v>201.6</v>
      </c>
      <c r="L46" s="81">
        <v>31.718954004593201</v>
      </c>
      <c r="M46" s="81">
        <v>2.3043606176318101</v>
      </c>
      <c r="N46" s="81">
        <v>0</v>
      </c>
      <c r="O46" s="81">
        <v>0</v>
      </c>
      <c r="P46" s="81">
        <v>0</v>
      </c>
      <c r="Q46" s="81">
        <v>90.192800461879798</v>
      </c>
      <c r="R46" s="81">
        <v>14.263282266658001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X46" s="81">
        <v>159.619452871774</v>
      </c>
      <c r="Y46" s="81">
        <v>0</v>
      </c>
      <c r="Z46" s="81">
        <v>0</v>
      </c>
      <c r="AA46" s="81">
        <v>497.59236406905598</v>
      </c>
      <c r="AB46" s="81">
        <v>0</v>
      </c>
      <c r="AC46" s="81">
        <v>0</v>
      </c>
      <c r="AD46" s="81">
        <v>0</v>
      </c>
      <c r="AE46" s="81">
        <v>13.1103150659481</v>
      </c>
      <c r="AF46" s="81">
        <v>0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201.59985963617899</v>
      </c>
      <c r="AO46" s="81">
        <v>0</v>
      </c>
      <c r="AP46" s="81">
        <v>0</v>
      </c>
      <c r="AQ46" s="81">
        <v>0</v>
      </c>
      <c r="AR46" s="81">
        <v>0</v>
      </c>
      <c r="AS46" s="81">
        <v>0</v>
      </c>
      <c r="AT46" s="82">
        <v>0</v>
      </c>
    </row>
    <row r="47" spans="2:46" ht="12" customHeight="1" x14ac:dyDescent="0.25">
      <c r="B47" s="80" t="s">
        <v>28</v>
      </c>
      <c r="C47" s="81" t="s">
        <v>78</v>
      </c>
      <c r="D47" s="81" t="s">
        <v>25</v>
      </c>
      <c r="E47" s="81" t="s">
        <v>25</v>
      </c>
      <c r="F47" s="81" t="s">
        <v>25</v>
      </c>
      <c r="G47" s="81" t="s">
        <v>25</v>
      </c>
      <c r="H47" s="81" t="s">
        <v>60</v>
      </c>
      <c r="I47" s="81" t="s">
        <v>25</v>
      </c>
      <c r="J47" s="81">
        <v>808.8</v>
      </c>
      <c r="K47" s="81">
        <v>201.6</v>
      </c>
      <c r="L47" s="81">
        <v>31.718954004593201</v>
      </c>
      <c r="M47" s="81">
        <v>2.3043606176318101</v>
      </c>
      <c r="N47" s="81">
        <v>0</v>
      </c>
      <c r="O47" s="81">
        <v>0</v>
      </c>
      <c r="P47" s="81">
        <v>0</v>
      </c>
      <c r="Q47" s="81">
        <v>90.192800461879798</v>
      </c>
      <c r="R47" s="81">
        <v>14.263282266658001</v>
      </c>
      <c r="S47" s="81">
        <v>0</v>
      </c>
      <c r="T47" s="81">
        <v>0</v>
      </c>
      <c r="U47" s="81">
        <v>0</v>
      </c>
      <c r="V47" s="81">
        <v>0</v>
      </c>
      <c r="W47" s="81">
        <v>0</v>
      </c>
      <c r="X47" s="81">
        <v>159.619452871774</v>
      </c>
      <c r="Y47" s="81">
        <v>0</v>
      </c>
      <c r="Z47" s="81">
        <v>0</v>
      </c>
      <c r="AA47" s="81">
        <v>497.59236406905598</v>
      </c>
      <c r="AB47" s="81">
        <v>0</v>
      </c>
      <c r="AC47" s="81">
        <v>0</v>
      </c>
      <c r="AD47" s="81">
        <v>0</v>
      </c>
      <c r="AE47" s="81">
        <v>13.1103150659481</v>
      </c>
      <c r="AF47" s="81">
        <v>0</v>
      </c>
      <c r="AG47" s="81">
        <v>0</v>
      </c>
      <c r="AH47" s="81">
        <v>0</v>
      </c>
      <c r="AI47" s="81">
        <v>0</v>
      </c>
      <c r="AJ47" s="81">
        <v>0</v>
      </c>
      <c r="AK47" s="81">
        <v>0</v>
      </c>
      <c r="AL47" s="81">
        <v>0</v>
      </c>
      <c r="AM47" s="81">
        <v>0</v>
      </c>
      <c r="AN47" s="81">
        <v>201.59985963617899</v>
      </c>
      <c r="AO47" s="81">
        <v>0</v>
      </c>
      <c r="AP47" s="81">
        <v>0</v>
      </c>
      <c r="AQ47" s="81">
        <v>0</v>
      </c>
      <c r="AR47" s="81">
        <v>0</v>
      </c>
      <c r="AS47" s="81">
        <v>0</v>
      </c>
      <c r="AT47" s="82">
        <v>0</v>
      </c>
    </row>
    <row r="48" spans="2:46" ht="12" customHeight="1" x14ac:dyDescent="0.25">
      <c r="B48" s="80" t="s">
        <v>34</v>
      </c>
      <c r="C48" s="81" t="s">
        <v>23</v>
      </c>
      <c r="D48" s="81" t="s">
        <v>35</v>
      </c>
      <c r="E48" s="81" t="s">
        <v>36</v>
      </c>
      <c r="F48" s="81" t="s">
        <v>25</v>
      </c>
      <c r="G48" s="81" t="s">
        <v>25</v>
      </c>
      <c r="H48" s="81" t="s">
        <v>60</v>
      </c>
      <c r="I48" s="81" t="s">
        <v>25</v>
      </c>
      <c r="J48" s="81">
        <v>444.84</v>
      </c>
      <c r="K48" s="81">
        <v>110.88</v>
      </c>
      <c r="L48" s="81">
        <v>17.4454247025262</v>
      </c>
      <c r="M48" s="81">
        <v>1.2673983396974999</v>
      </c>
      <c r="N48" s="81">
        <v>0</v>
      </c>
      <c r="O48" s="81">
        <v>0</v>
      </c>
      <c r="P48" s="81">
        <v>0</v>
      </c>
      <c r="Q48" s="81">
        <v>49.6060402540339</v>
      </c>
      <c r="R48" s="81">
        <v>7.8448052466619203</v>
      </c>
      <c r="S48" s="81">
        <v>0</v>
      </c>
      <c r="T48" s="81">
        <v>0</v>
      </c>
      <c r="U48" s="81">
        <v>0</v>
      </c>
      <c r="V48" s="81">
        <v>0</v>
      </c>
      <c r="W48" s="81">
        <v>0</v>
      </c>
      <c r="X48" s="81">
        <v>87.790699079475502</v>
      </c>
      <c r="Y48" s="81">
        <v>0</v>
      </c>
      <c r="Z48" s="81">
        <v>0</v>
      </c>
      <c r="AA48" s="81">
        <v>273.67580023798098</v>
      </c>
      <c r="AB48" s="81">
        <v>0</v>
      </c>
      <c r="AC48" s="81">
        <v>0</v>
      </c>
      <c r="AD48" s="81">
        <v>0</v>
      </c>
      <c r="AE48" s="81">
        <v>7.21067328627145</v>
      </c>
      <c r="AF48" s="81">
        <v>0</v>
      </c>
      <c r="AG48" s="81">
        <v>0</v>
      </c>
      <c r="AH48" s="81">
        <v>0</v>
      </c>
      <c r="AI48" s="81">
        <v>0</v>
      </c>
      <c r="AJ48" s="81">
        <v>0</v>
      </c>
      <c r="AK48" s="81">
        <v>0</v>
      </c>
      <c r="AL48" s="81">
        <v>0</v>
      </c>
      <c r="AM48" s="81">
        <v>0</v>
      </c>
      <c r="AN48" s="81">
        <v>110.879922799898</v>
      </c>
      <c r="AO48" s="81">
        <v>0</v>
      </c>
      <c r="AP48" s="81">
        <v>0</v>
      </c>
      <c r="AQ48" s="81">
        <v>0</v>
      </c>
      <c r="AR48" s="81">
        <v>0</v>
      </c>
      <c r="AS48" s="81">
        <v>0</v>
      </c>
      <c r="AT48" s="82">
        <v>0</v>
      </c>
    </row>
    <row r="49" spans="2:46" ht="12" customHeight="1" x14ac:dyDescent="0.25">
      <c r="B49" s="83" t="s">
        <v>34</v>
      </c>
      <c r="C49" s="84" t="s">
        <v>23</v>
      </c>
      <c r="D49" s="84" t="s">
        <v>35</v>
      </c>
      <c r="E49" s="84" t="s">
        <v>81</v>
      </c>
      <c r="F49" s="84" t="s">
        <v>25</v>
      </c>
      <c r="G49" s="84" t="s">
        <v>25</v>
      </c>
      <c r="H49" s="84" t="s">
        <v>60</v>
      </c>
      <c r="I49" s="84" t="s">
        <v>25</v>
      </c>
      <c r="J49" s="84">
        <v>485.28</v>
      </c>
      <c r="K49" s="84">
        <v>120.96</v>
      </c>
      <c r="L49" s="84">
        <v>19.031372402755899</v>
      </c>
      <c r="M49" s="84">
        <v>1.3826163705790899</v>
      </c>
      <c r="N49" s="84">
        <v>0</v>
      </c>
      <c r="O49" s="84">
        <v>0</v>
      </c>
      <c r="P49" s="84">
        <v>0</v>
      </c>
      <c r="Q49" s="84">
        <v>54.1156802771279</v>
      </c>
      <c r="R49" s="84">
        <v>8.5579693599948197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95.771671723064202</v>
      </c>
      <c r="Y49" s="84">
        <v>0</v>
      </c>
      <c r="Z49" s="84">
        <v>0</v>
      </c>
      <c r="AA49" s="84">
        <v>298.55541844143301</v>
      </c>
      <c r="AB49" s="84">
        <v>0</v>
      </c>
      <c r="AC49" s="84">
        <v>0</v>
      </c>
      <c r="AD49" s="84">
        <v>0</v>
      </c>
      <c r="AE49" s="84">
        <v>7.8661890395688499</v>
      </c>
      <c r="AF49" s="84">
        <v>0</v>
      </c>
      <c r="AG49" s="84">
        <v>0</v>
      </c>
      <c r="AH49" s="84">
        <v>0</v>
      </c>
      <c r="AI49" s="84">
        <v>0</v>
      </c>
      <c r="AJ49" s="84">
        <v>0</v>
      </c>
      <c r="AK49" s="84">
        <v>0</v>
      </c>
      <c r="AL49" s="84">
        <v>0</v>
      </c>
      <c r="AM49" s="84">
        <v>0</v>
      </c>
      <c r="AN49" s="84">
        <v>120.959915781707</v>
      </c>
      <c r="AO49" s="84">
        <v>0</v>
      </c>
      <c r="AP49" s="84">
        <v>0</v>
      </c>
      <c r="AQ49" s="84">
        <v>0</v>
      </c>
      <c r="AR49" s="84">
        <v>0</v>
      </c>
      <c r="AS49" s="84">
        <v>0</v>
      </c>
      <c r="AT49" s="85">
        <v>0</v>
      </c>
    </row>
  </sheetData>
  <mergeCells count="8">
    <mergeCell ref="L1:AH1"/>
    <mergeCell ref="AI1:AT1"/>
    <mergeCell ref="L2:S2"/>
    <mergeCell ref="T2:Z2"/>
    <mergeCell ref="AB2:AD2"/>
    <mergeCell ref="AE2:AH2"/>
    <mergeCell ref="AI2:AM2"/>
    <mergeCell ref="AO2:AS2"/>
  </mergeCells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ACE1-EB4C-4FC6-A8FB-9F831770BA98}">
  <sheetPr codeName="Planilha3"/>
  <dimension ref="A1:AX73"/>
  <sheetViews>
    <sheetView showGridLines="0" workbookViewId="0"/>
  </sheetViews>
  <sheetFormatPr defaultColWidth="9.140625" defaultRowHeight="11.25" x14ac:dyDescent="0.25"/>
  <cols>
    <col min="1" max="1" width="4.7109375" style="8" bestFit="1" customWidth="1"/>
    <col min="2" max="2" width="8.85546875" style="8" bestFit="1" customWidth="1"/>
    <col min="3" max="3" width="8.7109375" style="8" bestFit="1" customWidth="1"/>
    <col min="4" max="4" width="27.140625" style="8" bestFit="1" customWidth="1"/>
    <col min="5" max="5" width="13.5703125" style="8" bestFit="1" customWidth="1"/>
    <col min="6" max="6" width="25.140625" style="8" bestFit="1" customWidth="1"/>
    <col min="7" max="9" width="10.28515625" style="8" bestFit="1" customWidth="1"/>
    <col min="10" max="10" width="6.85546875" style="8" bestFit="1" customWidth="1"/>
    <col min="11" max="11" width="4.5703125" style="8" bestFit="1" customWidth="1"/>
    <col min="12" max="12" width="4.42578125" style="8" bestFit="1" customWidth="1"/>
    <col min="13" max="13" width="6.7109375" style="8" bestFit="1" customWidth="1"/>
    <col min="14" max="14" width="6.28515625" style="8" bestFit="1" customWidth="1"/>
    <col min="15" max="15" width="11.140625" style="8" bestFit="1" customWidth="1"/>
    <col min="16" max="16" width="10.42578125" style="8" bestFit="1" customWidth="1"/>
    <col min="17" max="16384" width="9.140625" style="8"/>
  </cols>
  <sheetData>
    <row r="1" spans="1:50" ht="11.25" customHeight="1" x14ac:dyDescent="0.25">
      <c r="A1" s="36" t="s">
        <v>415</v>
      </c>
      <c r="B1" s="36" t="s">
        <v>403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404</v>
      </c>
      <c r="K1" s="36" t="s">
        <v>405</v>
      </c>
      <c r="L1" s="36" t="s">
        <v>406</v>
      </c>
      <c r="M1" s="36" t="s">
        <v>407</v>
      </c>
      <c r="N1" s="36" t="s">
        <v>408</v>
      </c>
      <c r="O1" s="36" t="s">
        <v>283</v>
      </c>
      <c r="P1" s="36" t="s">
        <v>269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ht="11.25" customHeight="1" x14ac:dyDescent="0.25">
      <c r="A2" s="37">
        <v>1</v>
      </c>
      <c r="B2" s="37" t="s">
        <v>263</v>
      </c>
      <c r="C2" s="37" t="s">
        <v>22</v>
      </c>
      <c r="D2" s="37" t="s">
        <v>76</v>
      </c>
      <c r="E2" s="37" t="s">
        <v>24</v>
      </c>
      <c r="F2" s="37" t="s">
        <v>24</v>
      </c>
      <c r="G2" s="37" t="s">
        <v>25</v>
      </c>
      <c r="H2" s="37" t="s">
        <v>25</v>
      </c>
      <c r="I2" s="37" t="s">
        <v>409</v>
      </c>
      <c r="J2" s="37" t="s">
        <v>410</v>
      </c>
      <c r="K2" s="37" t="s">
        <v>411</v>
      </c>
      <c r="L2" s="37" t="s">
        <v>60</v>
      </c>
      <c r="M2" s="37">
        <v>2021</v>
      </c>
      <c r="N2" s="37">
        <v>0</v>
      </c>
      <c r="O2" s="37">
        <v>555.24</v>
      </c>
      <c r="P2" s="37">
        <v>50.079900799256002</v>
      </c>
    </row>
    <row r="3" spans="1:50" ht="11.25" customHeight="1" x14ac:dyDescent="0.25">
      <c r="A3" s="37">
        <v>2</v>
      </c>
      <c r="B3" s="37" t="s">
        <v>263</v>
      </c>
      <c r="C3" s="37" t="s">
        <v>31</v>
      </c>
      <c r="D3" s="37" t="s">
        <v>76</v>
      </c>
      <c r="E3" s="37" t="s">
        <v>32</v>
      </c>
      <c r="F3" s="37" t="s">
        <v>25</v>
      </c>
      <c r="G3" s="37" t="s">
        <v>25</v>
      </c>
      <c r="H3" s="37" t="s">
        <v>25</v>
      </c>
      <c r="I3" s="37" t="s">
        <v>409</v>
      </c>
      <c r="J3" s="37" t="s">
        <v>410</v>
      </c>
      <c r="K3" s="37" t="s">
        <v>411</v>
      </c>
      <c r="L3" s="37" t="s">
        <v>60</v>
      </c>
      <c r="M3" s="37">
        <v>2021</v>
      </c>
      <c r="N3" s="37">
        <v>0</v>
      </c>
      <c r="O3" s="37">
        <v>524.76</v>
      </c>
      <c r="P3" s="37">
        <v>44.070312703345301</v>
      </c>
    </row>
    <row r="4" spans="1:50" ht="11.25" customHeight="1" x14ac:dyDescent="0.25">
      <c r="A4" s="37">
        <v>3</v>
      </c>
      <c r="B4" s="37" t="s">
        <v>263</v>
      </c>
      <c r="C4" s="37" t="s">
        <v>22</v>
      </c>
      <c r="D4" s="37" t="s">
        <v>23</v>
      </c>
      <c r="E4" s="37" t="s">
        <v>24</v>
      </c>
      <c r="F4" s="37" t="s">
        <v>41</v>
      </c>
      <c r="G4" s="37" t="s">
        <v>25</v>
      </c>
      <c r="H4" s="37" t="s">
        <v>25</v>
      </c>
      <c r="I4" s="37" t="s">
        <v>25</v>
      </c>
      <c r="J4" s="37" t="s">
        <v>410</v>
      </c>
      <c r="K4" s="37" t="s">
        <v>411</v>
      </c>
      <c r="L4" s="37" t="s">
        <v>60</v>
      </c>
      <c r="M4" s="37">
        <v>2021</v>
      </c>
      <c r="N4" s="37">
        <v>0</v>
      </c>
      <c r="O4" s="37">
        <v>103.03</v>
      </c>
      <c r="P4" s="37">
        <v>0</v>
      </c>
    </row>
    <row r="5" spans="1:50" ht="11.25" customHeight="1" x14ac:dyDescent="0.25">
      <c r="A5" s="37">
        <v>4</v>
      </c>
      <c r="B5" s="37" t="s">
        <v>263</v>
      </c>
      <c r="C5" s="37" t="s">
        <v>31</v>
      </c>
      <c r="D5" s="37" t="s">
        <v>76</v>
      </c>
      <c r="E5" s="37" t="s">
        <v>32</v>
      </c>
      <c r="F5" s="37" t="s">
        <v>79</v>
      </c>
      <c r="G5" s="37" t="s">
        <v>25</v>
      </c>
      <c r="H5" s="37" t="s">
        <v>25</v>
      </c>
      <c r="I5" s="37" t="s">
        <v>412</v>
      </c>
      <c r="J5" s="37" t="s">
        <v>410</v>
      </c>
      <c r="K5" s="37" t="s">
        <v>411</v>
      </c>
      <c r="L5" s="37" t="s">
        <v>60</v>
      </c>
      <c r="M5" s="37">
        <v>2021</v>
      </c>
      <c r="N5" s="37">
        <v>0</v>
      </c>
      <c r="O5" s="37">
        <v>809.99</v>
      </c>
      <c r="P5" s="37">
        <v>44.070312703345301</v>
      </c>
    </row>
    <row r="6" spans="1:50" ht="11.25" customHeight="1" x14ac:dyDescent="0.25">
      <c r="A6" s="37">
        <v>5</v>
      </c>
      <c r="B6" s="37" t="s">
        <v>263</v>
      </c>
      <c r="C6" s="37" t="s">
        <v>22</v>
      </c>
      <c r="D6" s="37" t="s">
        <v>23</v>
      </c>
      <c r="E6" s="37" t="s">
        <v>24</v>
      </c>
      <c r="F6" s="37" t="s">
        <v>39</v>
      </c>
      <c r="G6" s="37" t="s">
        <v>25</v>
      </c>
      <c r="H6" s="37" t="s">
        <v>25</v>
      </c>
      <c r="I6" s="37" t="s">
        <v>25</v>
      </c>
      <c r="J6" s="37" t="s">
        <v>410</v>
      </c>
      <c r="K6" s="37" t="s">
        <v>411</v>
      </c>
      <c r="L6" s="37" t="s">
        <v>60</v>
      </c>
      <c r="M6" s="37">
        <v>2021</v>
      </c>
      <c r="N6" s="37">
        <v>0</v>
      </c>
      <c r="O6" s="37">
        <v>264.92</v>
      </c>
      <c r="P6" s="37">
        <v>0</v>
      </c>
    </row>
    <row r="7" spans="1:50" ht="11.25" customHeight="1" x14ac:dyDescent="0.25">
      <c r="A7" s="37">
        <v>6</v>
      </c>
      <c r="B7" s="37" t="s">
        <v>263</v>
      </c>
      <c r="C7" s="37" t="s">
        <v>31</v>
      </c>
      <c r="D7" s="37" t="s">
        <v>23</v>
      </c>
      <c r="E7" s="37" t="s">
        <v>32</v>
      </c>
      <c r="F7" s="37" t="s">
        <v>79</v>
      </c>
      <c r="G7" s="37" t="s">
        <v>25</v>
      </c>
      <c r="H7" s="37" t="s">
        <v>25</v>
      </c>
      <c r="I7" s="37" t="s">
        <v>25</v>
      </c>
      <c r="J7" s="37" t="s">
        <v>410</v>
      </c>
      <c r="K7" s="37" t="s">
        <v>411</v>
      </c>
      <c r="L7" s="37" t="s">
        <v>60</v>
      </c>
      <c r="M7" s="37">
        <v>2021</v>
      </c>
      <c r="N7" s="37">
        <v>0</v>
      </c>
      <c r="O7" s="37">
        <v>338.67</v>
      </c>
      <c r="P7" s="37">
        <v>44.070312703345301</v>
      </c>
    </row>
    <row r="8" spans="1:50" ht="11.25" customHeight="1" x14ac:dyDescent="0.25">
      <c r="A8" s="37">
        <v>7</v>
      </c>
      <c r="B8" s="37" t="s">
        <v>263</v>
      </c>
      <c r="C8" s="37" t="s">
        <v>71</v>
      </c>
      <c r="D8" s="37" t="s">
        <v>69</v>
      </c>
      <c r="E8" s="37" t="s">
        <v>25</v>
      </c>
      <c r="F8" s="37" t="s">
        <v>25</v>
      </c>
      <c r="G8" s="37" t="s">
        <v>72</v>
      </c>
      <c r="H8" s="37" t="s">
        <v>25</v>
      </c>
      <c r="I8" s="37" t="s">
        <v>25</v>
      </c>
      <c r="J8" s="37" t="s">
        <v>413</v>
      </c>
      <c r="K8" s="37" t="s">
        <v>411</v>
      </c>
      <c r="L8" s="37" t="s">
        <v>64</v>
      </c>
      <c r="M8" s="37">
        <v>2021</v>
      </c>
      <c r="N8" s="37">
        <v>0</v>
      </c>
      <c r="O8" s="37">
        <v>4.42</v>
      </c>
      <c r="P8" s="37">
        <v>0</v>
      </c>
    </row>
    <row r="9" spans="1:50" ht="11.25" customHeight="1" x14ac:dyDescent="0.25">
      <c r="A9" s="37">
        <v>8</v>
      </c>
      <c r="B9" s="37" t="s">
        <v>263</v>
      </c>
      <c r="C9" s="37" t="s">
        <v>22</v>
      </c>
      <c r="D9" s="37" t="s">
        <v>78</v>
      </c>
      <c r="E9" s="37" t="s">
        <v>24</v>
      </c>
      <c r="F9" s="37" t="s">
        <v>40</v>
      </c>
      <c r="G9" s="37" t="s">
        <v>25</v>
      </c>
      <c r="H9" s="37" t="s">
        <v>25</v>
      </c>
      <c r="I9" s="37" t="s">
        <v>25</v>
      </c>
      <c r="J9" s="37" t="s">
        <v>410</v>
      </c>
      <c r="K9" s="37" t="s">
        <v>411</v>
      </c>
      <c r="L9" s="37" t="s">
        <v>60</v>
      </c>
      <c r="M9" s="37">
        <v>2021</v>
      </c>
      <c r="N9" s="37">
        <v>0</v>
      </c>
      <c r="O9" s="37">
        <v>294.36</v>
      </c>
      <c r="P9" s="37">
        <v>0</v>
      </c>
    </row>
    <row r="10" spans="1:50" ht="11.25" customHeight="1" x14ac:dyDescent="0.25">
      <c r="A10" s="37">
        <v>9</v>
      </c>
      <c r="B10" s="37" t="s">
        <v>263</v>
      </c>
      <c r="C10" s="37" t="s">
        <v>31</v>
      </c>
      <c r="D10" s="37" t="s">
        <v>76</v>
      </c>
      <c r="E10" s="37" t="s">
        <v>32</v>
      </c>
      <c r="F10" s="37" t="s">
        <v>79</v>
      </c>
      <c r="G10" s="37" t="s">
        <v>25</v>
      </c>
      <c r="H10" s="37" t="s">
        <v>25</v>
      </c>
      <c r="I10" s="37" t="s">
        <v>414</v>
      </c>
      <c r="J10" s="37" t="s">
        <v>410</v>
      </c>
      <c r="K10" s="37" t="s">
        <v>411</v>
      </c>
      <c r="L10" s="37" t="s">
        <v>60</v>
      </c>
      <c r="M10" s="37">
        <v>2021</v>
      </c>
      <c r="N10" s="37">
        <v>0</v>
      </c>
      <c r="O10" s="37">
        <v>239.53</v>
      </c>
      <c r="P10" s="37">
        <v>44.070312703345301</v>
      </c>
    </row>
    <row r="11" spans="1:50" ht="11.25" customHeight="1" x14ac:dyDescent="0.25">
      <c r="A11" s="37">
        <v>10</v>
      </c>
      <c r="B11" s="37" t="s">
        <v>263</v>
      </c>
      <c r="C11" s="37" t="s">
        <v>71</v>
      </c>
      <c r="D11" s="37" t="s">
        <v>69</v>
      </c>
      <c r="E11" s="37" t="s">
        <v>25</v>
      </c>
      <c r="F11" s="37" t="s">
        <v>25</v>
      </c>
      <c r="G11" s="37" t="s">
        <v>73</v>
      </c>
      <c r="H11" s="37" t="s">
        <v>25</v>
      </c>
      <c r="I11" s="37" t="s">
        <v>25</v>
      </c>
      <c r="J11" s="37" t="s">
        <v>413</v>
      </c>
      <c r="K11" s="37" t="s">
        <v>411</v>
      </c>
      <c r="L11" s="37" t="s">
        <v>64</v>
      </c>
      <c r="M11" s="37">
        <v>2021</v>
      </c>
      <c r="N11" s="37">
        <v>0</v>
      </c>
      <c r="O11" s="37">
        <v>8.98</v>
      </c>
      <c r="P11" s="37">
        <v>0</v>
      </c>
    </row>
    <row r="12" spans="1:50" ht="11.25" customHeight="1" x14ac:dyDescent="0.25">
      <c r="A12" s="37">
        <v>11</v>
      </c>
      <c r="B12" s="37" t="s">
        <v>263</v>
      </c>
      <c r="C12" s="37" t="s">
        <v>22</v>
      </c>
      <c r="D12" s="37" t="s">
        <v>76</v>
      </c>
      <c r="E12" s="37" t="s">
        <v>24</v>
      </c>
      <c r="F12" s="37" t="s">
        <v>24</v>
      </c>
      <c r="G12" s="37" t="s">
        <v>25</v>
      </c>
      <c r="H12" s="37" t="s">
        <v>25</v>
      </c>
      <c r="I12" s="37" t="s">
        <v>412</v>
      </c>
      <c r="J12" s="37" t="s">
        <v>410</v>
      </c>
      <c r="K12" s="37" t="s">
        <v>411</v>
      </c>
      <c r="L12" s="37" t="s">
        <v>60</v>
      </c>
      <c r="M12" s="37">
        <v>2021</v>
      </c>
      <c r="N12" s="37">
        <v>0</v>
      </c>
      <c r="O12" s="37">
        <v>851.93</v>
      </c>
      <c r="P12" s="37">
        <v>50.079900799256002</v>
      </c>
    </row>
    <row r="13" spans="1:50" ht="11.25" customHeight="1" x14ac:dyDescent="0.25">
      <c r="A13" s="37">
        <v>12</v>
      </c>
      <c r="B13" s="37" t="s">
        <v>263</v>
      </c>
      <c r="C13" s="37" t="s">
        <v>22</v>
      </c>
      <c r="D13" s="37" t="s">
        <v>78</v>
      </c>
      <c r="E13" s="37" t="s">
        <v>24</v>
      </c>
      <c r="F13" s="37" t="s">
        <v>42</v>
      </c>
      <c r="G13" s="37" t="s">
        <v>25</v>
      </c>
      <c r="H13" s="37" t="s">
        <v>25</v>
      </c>
      <c r="I13" s="37" t="s">
        <v>25</v>
      </c>
      <c r="J13" s="37" t="s">
        <v>410</v>
      </c>
      <c r="K13" s="37" t="s">
        <v>411</v>
      </c>
      <c r="L13" s="37" t="s">
        <v>60</v>
      </c>
      <c r="M13" s="37">
        <v>2021</v>
      </c>
      <c r="N13" s="37">
        <v>0</v>
      </c>
      <c r="O13" s="37">
        <v>176.61</v>
      </c>
      <c r="P13" s="37">
        <v>0</v>
      </c>
    </row>
    <row r="14" spans="1:50" ht="11.25" customHeight="1" x14ac:dyDescent="0.25">
      <c r="A14" s="37">
        <v>13</v>
      </c>
      <c r="B14" s="37" t="s">
        <v>263</v>
      </c>
      <c r="C14" s="37" t="s">
        <v>31</v>
      </c>
      <c r="D14" s="37" t="s">
        <v>76</v>
      </c>
      <c r="E14" s="37" t="s">
        <v>32</v>
      </c>
      <c r="F14" s="37" t="s">
        <v>80</v>
      </c>
      <c r="G14" s="37" t="s">
        <v>25</v>
      </c>
      <c r="H14" s="37" t="s">
        <v>25</v>
      </c>
      <c r="I14" s="37" t="s">
        <v>414</v>
      </c>
      <c r="J14" s="37" t="s">
        <v>410</v>
      </c>
      <c r="K14" s="37" t="s">
        <v>411</v>
      </c>
      <c r="L14" s="37" t="s">
        <v>60</v>
      </c>
      <c r="M14" s="37">
        <v>2021</v>
      </c>
      <c r="N14" s="37">
        <v>0</v>
      </c>
      <c r="O14" s="37">
        <v>228.65</v>
      </c>
      <c r="P14" s="37">
        <v>42.067116671374997</v>
      </c>
    </row>
    <row r="15" spans="1:50" ht="11.25" customHeight="1" x14ac:dyDescent="0.25">
      <c r="A15" s="37">
        <v>14</v>
      </c>
      <c r="B15" s="37" t="s">
        <v>263</v>
      </c>
      <c r="C15" s="37" t="s">
        <v>22</v>
      </c>
      <c r="D15" s="37" t="s">
        <v>78</v>
      </c>
      <c r="E15" s="37" t="s">
        <v>24</v>
      </c>
      <c r="F15" s="37" t="s">
        <v>39</v>
      </c>
      <c r="G15" s="37" t="s">
        <v>25</v>
      </c>
      <c r="H15" s="37" t="s">
        <v>25</v>
      </c>
      <c r="I15" s="37" t="s">
        <v>25</v>
      </c>
      <c r="J15" s="37" t="s">
        <v>410</v>
      </c>
      <c r="K15" s="37" t="s">
        <v>411</v>
      </c>
      <c r="L15" s="37" t="s">
        <v>60</v>
      </c>
      <c r="M15" s="37">
        <v>2021</v>
      </c>
      <c r="N15" s="37">
        <v>0</v>
      </c>
      <c r="O15" s="37">
        <v>264.92</v>
      </c>
      <c r="P15" s="37">
        <v>0</v>
      </c>
    </row>
    <row r="16" spans="1:50" ht="11.25" customHeight="1" x14ac:dyDescent="0.25">
      <c r="A16" s="37">
        <v>15</v>
      </c>
      <c r="B16" s="37" t="s">
        <v>263</v>
      </c>
      <c r="C16" s="37" t="s">
        <v>22</v>
      </c>
      <c r="D16" s="37" t="s">
        <v>78</v>
      </c>
      <c r="E16" s="37" t="s">
        <v>24</v>
      </c>
      <c r="F16" s="37" t="s">
        <v>24</v>
      </c>
      <c r="G16" s="37" t="s">
        <v>25</v>
      </c>
      <c r="H16" s="37" t="s">
        <v>25</v>
      </c>
      <c r="I16" s="37" t="s">
        <v>25</v>
      </c>
      <c r="J16" s="37" t="s">
        <v>410</v>
      </c>
      <c r="K16" s="37" t="s">
        <v>411</v>
      </c>
      <c r="L16" s="37" t="s">
        <v>60</v>
      </c>
      <c r="M16" s="37">
        <v>2021</v>
      </c>
      <c r="N16" s="37">
        <v>0</v>
      </c>
      <c r="O16" s="37">
        <v>384.85</v>
      </c>
      <c r="P16" s="37">
        <v>50.079900799256002</v>
      </c>
    </row>
    <row r="17" spans="1:16" ht="11.25" customHeight="1" x14ac:dyDescent="0.25">
      <c r="A17" s="37">
        <v>16</v>
      </c>
      <c r="B17" s="37" t="s">
        <v>263</v>
      </c>
      <c r="C17" s="37" t="s">
        <v>31</v>
      </c>
      <c r="D17" s="37" t="s">
        <v>76</v>
      </c>
      <c r="E17" s="37" t="s">
        <v>32</v>
      </c>
      <c r="F17" s="37" t="s">
        <v>80</v>
      </c>
      <c r="G17" s="37" t="s">
        <v>25</v>
      </c>
      <c r="H17" s="37" t="s">
        <v>25</v>
      </c>
      <c r="I17" s="37" t="s">
        <v>412</v>
      </c>
      <c r="J17" s="37" t="s">
        <v>410</v>
      </c>
      <c r="K17" s="37" t="s">
        <v>411</v>
      </c>
      <c r="L17" s="37" t="s">
        <v>60</v>
      </c>
      <c r="M17" s="37">
        <v>2021</v>
      </c>
      <c r="N17" s="37">
        <v>0</v>
      </c>
      <c r="O17" s="37">
        <v>773.17</v>
      </c>
      <c r="P17" s="37">
        <v>42.067116671374997</v>
      </c>
    </row>
    <row r="18" spans="1:16" ht="11.25" customHeight="1" x14ac:dyDescent="0.25">
      <c r="A18" s="37">
        <v>17</v>
      </c>
      <c r="B18" s="37" t="s">
        <v>263</v>
      </c>
      <c r="C18" s="37" t="s">
        <v>31</v>
      </c>
      <c r="D18" s="37" t="s">
        <v>76</v>
      </c>
      <c r="E18" s="37" t="s">
        <v>32</v>
      </c>
      <c r="F18" s="37" t="s">
        <v>25</v>
      </c>
      <c r="G18" s="37" t="s">
        <v>25</v>
      </c>
      <c r="H18" s="37" t="s">
        <v>25</v>
      </c>
      <c r="I18" s="37" t="s">
        <v>412</v>
      </c>
      <c r="J18" s="37" t="s">
        <v>410</v>
      </c>
      <c r="K18" s="37" t="s">
        <v>411</v>
      </c>
      <c r="L18" s="37" t="s">
        <v>60</v>
      </c>
      <c r="M18" s="37">
        <v>2021</v>
      </c>
      <c r="N18" s="37">
        <v>0</v>
      </c>
      <c r="O18" s="37">
        <v>809.99</v>
      </c>
      <c r="P18" s="37">
        <v>44.070312703345301</v>
      </c>
    </row>
    <row r="19" spans="1:16" ht="11.25" customHeight="1" x14ac:dyDescent="0.25">
      <c r="A19" s="37">
        <v>18</v>
      </c>
      <c r="B19" s="37" t="s">
        <v>263</v>
      </c>
      <c r="C19" s="37" t="s">
        <v>31</v>
      </c>
      <c r="D19" s="37" t="s">
        <v>23</v>
      </c>
      <c r="E19" s="37" t="s">
        <v>32</v>
      </c>
      <c r="F19" s="37" t="s">
        <v>80</v>
      </c>
      <c r="G19" s="37" t="s">
        <v>25</v>
      </c>
      <c r="H19" s="37" t="s">
        <v>25</v>
      </c>
      <c r="I19" s="37" t="s">
        <v>25</v>
      </c>
      <c r="J19" s="37" t="s">
        <v>410</v>
      </c>
      <c r="K19" s="37" t="s">
        <v>411</v>
      </c>
      <c r="L19" s="37" t="s">
        <v>60</v>
      </c>
      <c r="M19" s="37">
        <v>2021</v>
      </c>
      <c r="N19" s="37">
        <v>0</v>
      </c>
      <c r="O19" s="37">
        <v>323.27999999999997</v>
      </c>
      <c r="P19" s="37">
        <v>42.067116671374997</v>
      </c>
    </row>
    <row r="20" spans="1:16" ht="11.25" customHeight="1" x14ac:dyDescent="0.25">
      <c r="A20" s="37">
        <v>19</v>
      </c>
      <c r="B20" s="37" t="s">
        <v>263</v>
      </c>
      <c r="C20" s="37" t="s">
        <v>22</v>
      </c>
      <c r="D20" s="37" t="s">
        <v>78</v>
      </c>
      <c r="E20" s="37" t="s">
        <v>24</v>
      </c>
      <c r="F20" s="37" t="s">
        <v>41</v>
      </c>
      <c r="G20" s="37" t="s">
        <v>25</v>
      </c>
      <c r="H20" s="37" t="s">
        <v>25</v>
      </c>
      <c r="I20" s="37" t="s">
        <v>25</v>
      </c>
      <c r="J20" s="37" t="s">
        <v>410</v>
      </c>
      <c r="K20" s="37" t="s">
        <v>411</v>
      </c>
      <c r="L20" s="37" t="s">
        <v>60</v>
      </c>
      <c r="M20" s="37">
        <v>2021</v>
      </c>
      <c r="N20" s="37">
        <v>0</v>
      </c>
      <c r="O20" s="37">
        <v>103.03</v>
      </c>
      <c r="P20" s="37">
        <v>0</v>
      </c>
    </row>
    <row r="21" spans="1:16" ht="11.25" customHeight="1" x14ac:dyDescent="0.25">
      <c r="A21" s="37">
        <v>20</v>
      </c>
      <c r="B21" s="37" t="s">
        <v>263</v>
      </c>
      <c r="C21" s="37" t="s">
        <v>31</v>
      </c>
      <c r="D21" s="37" t="s">
        <v>76</v>
      </c>
      <c r="E21" s="37" t="s">
        <v>32</v>
      </c>
      <c r="F21" s="37" t="s">
        <v>80</v>
      </c>
      <c r="G21" s="37" t="s">
        <v>25</v>
      </c>
      <c r="H21" s="37" t="s">
        <v>25</v>
      </c>
      <c r="I21" s="37" t="s">
        <v>409</v>
      </c>
      <c r="J21" s="37" t="s">
        <v>410</v>
      </c>
      <c r="K21" s="37" t="s">
        <v>411</v>
      </c>
      <c r="L21" s="37" t="s">
        <v>60</v>
      </c>
      <c r="M21" s="37">
        <v>2021</v>
      </c>
      <c r="N21" s="37">
        <v>0</v>
      </c>
      <c r="O21" s="37">
        <v>500.91</v>
      </c>
      <c r="P21" s="37">
        <v>42.067116671374997</v>
      </c>
    </row>
    <row r="22" spans="1:16" ht="11.25" customHeight="1" x14ac:dyDescent="0.25">
      <c r="A22" s="37">
        <v>21</v>
      </c>
      <c r="B22" s="37" t="s">
        <v>263</v>
      </c>
      <c r="C22" s="37" t="s">
        <v>22</v>
      </c>
      <c r="D22" s="37" t="s">
        <v>23</v>
      </c>
      <c r="E22" s="37" t="s">
        <v>24</v>
      </c>
      <c r="F22" s="37" t="s">
        <v>24</v>
      </c>
      <c r="G22" s="37" t="s">
        <v>25</v>
      </c>
      <c r="H22" s="37" t="s">
        <v>25</v>
      </c>
      <c r="I22" s="37" t="s">
        <v>25</v>
      </c>
      <c r="J22" s="37" t="s">
        <v>410</v>
      </c>
      <c r="K22" s="37" t="s">
        <v>411</v>
      </c>
      <c r="L22" s="37" t="s">
        <v>60</v>
      </c>
      <c r="M22" s="37">
        <v>2021</v>
      </c>
      <c r="N22" s="37">
        <v>0</v>
      </c>
      <c r="O22" s="37">
        <v>384.85</v>
      </c>
      <c r="P22" s="37">
        <v>50.079900799256002</v>
      </c>
    </row>
    <row r="23" spans="1:16" ht="11.25" customHeight="1" x14ac:dyDescent="0.25">
      <c r="A23" s="37">
        <v>22</v>
      </c>
      <c r="B23" s="37" t="s">
        <v>263</v>
      </c>
      <c r="C23" s="37" t="s">
        <v>31</v>
      </c>
      <c r="D23" s="37" t="s">
        <v>78</v>
      </c>
      <c r="E23" s="37" t="s">
        <v>32</v>
      </c>
      <c r="F23" s="37" t="s">
        <v>80</v>
      </c>
      <c r="G23" s="37" t="s">
        <v>25</v>
      </c>
      <c r="H23" s="37" t="s">
        <v>25</v>
      </c>
      <c r="I23" s="37" t="s">
        <v>25</v>
      </c>
      <c r="J23" s="37" t="s">
        <v>410</v>
      </c>
      <c r="K23" s="37" t="s">
        <v>411</v>
      </c>
      <c r="L23" s="37" t="s">
        <v>60</v>
      </c>
      <c r="M23" s="37">
        <v>2021</v>
      </c>
      <c r="N23" s="37">
        <v>0</v>
      </c>
      <c r="O23" s="37">
        <v>323.27999999999997</v>
      </c>
      <c r="P23" s="37">
        <v>42.067116671374997</v>
      </c>
    </row>
    <row r="24" spans="1:16" ht="11.25" customHeight="1" x14ac:dyDescent="0.25">
      <c r="A24" s="37">
        <v>23</v>
      </c>
      <c r="B24" s="37" t="s">
        <v>291</v>
      </c>
      <c r="C24" s="37" t="s">
        <v>22</v>
      </c>
      <c r="D24" s="37" t="s">
        <v>75</v>
      </c>
      <c r="E24" s="37" t="s">
        <v>24</v>
      </c>
      <c r="F24" s="37" t="s">
        <v>39</v>
      </c>
      <c r="G24" s="37" t="s">
        <v>25</v>
      </c>
      <c r="H24" s="37" t="s">
        <v>25</v>
      </c>
      <c r="I24" s="37" t="s">
        <v>25</v>
      </c>
      <c r="J24" s="37" t="s">
        <v>410</v>
      </c>
      <c r="K24" s="37" t="s">
        <v>411</v>
      </c>
      <c r="L24" s="37" t="s">
        <v>60</v>
      </c>
      <c r="M24" s="37">
        <v>2021</v>
      </c>
      <c r="N24" s="37">
        <v>0</v>
      </c>
      <c r="O24" s="37">
        <v>223.28</v>
      </c>
      <c r="P24" s="37"/>
    </row>
    <row r="25" spans="1:16" ht="11.25" customHeight="1" x14ac:dyDescent="0.25">
      <c r="A25" s="37">
        <v>24</v>
      </c>
      <c r="B25" s="37" t="s">
        <v>263</v>
      </c>
      <c r="C25" s="37" t="s">
        <v>31</v>
      </c>
      <c r="D25" s="37" t="s">
        <v>76</v>
      </c>
      <c r="E25" s="37" t="s">
        <v>32</v>
      </c>
      <c r="F25" s="37" t="s">
        <v>79</v>
      </c>
      <c r="G25" s="37" t="s">
        <v>25</v>
      </c>
      <c r="H25" s="37" t="s">
        <v>25</v>
      </c>
      <c r="I25" s="37" t="s">
        <v>409</v>
      </c>
      <c r="J25" s="37" t="s">
        <v>410</v>
      </c>
      <c r="K25" s="37" t="s">
        <v>411</v>
      </c>
      <c r="L25" s="37" t="s">
        <v>60</v>
      </c>
      <c r="M25" s="37">
        <v>2021</v>
      </c>
      <c r="N25" s="37">
        <v>0</v>
      </c>
      <c r="O25" s="37">
        <v>524.76</v>
      </c>
      <c r="P25" s="37">
        <v>44.070312703345301</v>
      </c>
    </row>
    <row r="26" spans="1:16" ht="11.25" customHeight="1" x14ac:dyDescent="0.25">
      <c r="A26" s="37">
        <v>25</v>
      </c>
      <c r="B26" s="37" t="s">
        <v>291</v>
      </c>
      <c r="C26" s="37" t="s">
        <v>22</v>
      </c>
      <c r="D26" s="37" t="s">
        <v>59</v>
      </c>
      <c r="E26" s="37" t="s">
        <v>24</v>
      </c>
      <c r="F26" s="37" t="s">
        <v>24</v>
      </c>
      <c r="G26" s="37" t="s">
        <v>25</v>
      </c>
      <c r="H26" s="37" t="s">
        <v>25</v>
      </c>
      <c r="I26" s="37" t="s">
        <v>409</v>
      </c>
      <c r="J26" s="37" t="s">
        <v>410</v>
      </c>
      <c r="K26" s="37" t="s">
        <v>411</v>
      </c>
      <c r="L26" s="37" t="s">
        <v>60</v>
      </c>
      <c r="M26" s="37">
        <v>2021</v>
      </c>
      <c r="N26" s="37">
        <v>0</v>
      </c>
      <c r="O26" s="37">
        <v>248.09</v>
      </c>
      <c r="P26" s="37"/>
    </row>
    <row r="27" spans="1:16" ht="11.25" customHeight="1" x14ac:dyDescent="0.25">
      <c r="A27" s="37">
        <v>26</v>
      </c>
      <c r="B27" s="37" t="s">
        <v>291</v>
      </c>
      <c r="C27" s="37" t="s">
        <v>31</v>
      </c>
      <c r="D27" s="37" t="s">
        <v>59</v>
      </c>
      <c r="E27" s="37" t="s">
        <v>32</v>
      </c>
      <c r="F27" s="37" t="s">
        <v>25</v>
      </c>
      <c r="G27" s="37" t="s">
        <v>25</v>
      </c>
      <c r="H27" s="37" t="s">
        <v>25</v>
      </c>
      <c r="I27" s="37" t="s">
        <v>414</v>
      </c>
      <c r="J27" s="37" t="s">
        <v>410</v>
      </c>
      <c r="K27" s="37" t="s">
        <v>411</v>
      </c>
      <c r="L27" s="37" t="s">
        <v>60</v>
      </c>
      <c r="M27" s="37">
        <v>2021</v>
      </c>
      <c r="N27" s="37">
        <v>0</v>
      </c>
      <c r="O27" s="37">
        <v>218.32</v>
      </c>
      <c r="P27" s="37"/>
    </row>
    <row r="28" spans="1:16" ht="11.25" customHeight="1" x14ac:dyDescent="0.25">
      <c r="A28" s="37">
        <v>27</v>
      </c>
      <c r="B28" s="37" t="s">
        <v>263</v>
      </c>
      <c r="C28" s="37" t="s">
        <v>31</v>
      </c>
      <c r="D28" s="37" t="s">
        <v>78</v>
      </c>
      <c r="E28" s="37" t="s">
        <v>32</v>
      </c>
      <c r="F28" s="37" t="s">
        <v>25</v>
      </c>
      <c r="G28" s="37" t="s">
        <v>25</v>
      </c>
      <c r="H28" s="37" t="s">
        <v>25</v>
      </c>
      <c r="I28" s="37" t="s">
        <v>25</v>
      </c>
      <c r="J28" s="37" t="s">
        <v>410</v>
      </c>
      <c r="K28" s="37" t="s">
        <v>411</v>
      </c>
      <c r="L28" s="37" t="s">
        <v>60</v>
      </c>
      <c r="M28" s="37">
        <v>2021</v>
      </c>
      <c r="N28" s="37">
        <v>0</v>
      </c>
      <c r="O28" s="37">
        <v>338.67</v>
      </c>
      <c r="P28" s="37">
        <v>44.070312703345301</v>
      </c>
    </row>
    <row r="29" spans="1:16" ht="11.25" customHeight="1" x14ac:dyDescent="0.25">
      <c r="A29" s="37">
        <v>28</v>
      </c>
      <c r="B29" s="37" t="s">
        <v>291</v>
      </c>
      <c r="C29" s="37" t="s">
        <v>22</v>
      </c>
      <c r="D29" s="37" t="s">
        <v>75</v>
      </c>
      <c r="E29" s="37" t="s">
        <v>24</v>
      </c>
      <c r="F29" s="37" t="s">
        <v>24</v>
      </c>
      <c r="G29" s="37" t="s">
        <v>25</v>
      </c>
      <c r="H29" s="37" t="s">
        <v>25</v>
      </c>
      <c r="I29" s="37" t="s">
        <v>25</v>
      </c>
      <c r="J29" s="37" t="s">
        <v>410</v>
      </c>
      <c r="K29" s="37" t="s">
        <v>411</v>
      </c>
      <c r="L29" s="37" t="s">
        <v>60</v>
      </c>
      <c r="M29" s="37">
        <v>2021</v>
      </c>
      <c r="N29" s="37">
        <v>0</v>
      </c>
      <c r="O29" s="37">
        <v>248.09</v>
      </c>
      <c r="P29" s="37"/>
    </row>
    <row r="30" spans="1:16" ht="11.25" customHeight="1" x14ac:dyDescent="0.25">
      <c r="A30" s="37">
        <v>29</v>
      </c>
      <c r="B30" s="37" t="s">
        <v>263</v>
      </c>
      <c r="C30" s="37" t="s">
        <v>31</v>
      </c>
      <c r="D30" s="37" t="s">
        <v>78</v>
      </c>
      <c r="E30" s="37" t="s">
        <v>32</v>
      </c>
      <c r="F30" s="37" t="s">
        <v>79</v>
      </c>
      <c r="G30" s="37" t="s">
        <v>25</v>
      </c>
      <c r="H30" s="37" t="s">
        <v>25</v>
      </c>
      <c r="I30" s="37" t="s">
        <v>25</v>
      </c>
      <c r="J30" s="37" t="s">
        <v>410</v>
      </c>
      <c r="K30" s="37" t="s">
        <v>411</v>
      </c>
      <c r="L30" s="37" t="s">
        <v>60</v>
      </c>
      <c r="M30" s="37">
        <v>2021</v>
      </c>
      <c r="N30" s="37">
        <v>0</v>
      </c>
      <c r="O30" s="37">
        <v>338.67</v>
      </c>
      <c r="P30" s="37">
        <v>44.070312703345301</v>
      </c>
    </row>
    <row r="31" spans="1:16" ht="11.25" customHeight="1" x14ac:dyDescent="0.25">
      <c r="A31" s="37">
        <v>30</v>
      </c>
      <c r="B31" s="37" t="s">
        <v>291</v>
      </c>
      <c r="C31" s="37" t="s">
        <v>22</v>
      </c>
      <c r="D31" s="37" t="s">
        <v>75</v>
      </c>
      <c r="E31" s="37" t="s">
        <v>24</v>
      </c>
      <c r="F31" s="37" t="s">
        <v>41</v>
      </c>
      <c r="G31" s="37" t="s">
        <v>25</v>
      </c>
      <c r="H31" s="37" t="s">
        <v>25</v>
      </c>
      <c r="I31" s="37" t="s">
        <v>25</v>
      </c>
      <c r="J31" s="37" t="s">
        <v>410</v>
      </c>
      <c r="K31" s="37" t="s">
        <v>411</v>
      </c>
      <c r="L31" s="37" t="s">
        <v>60</v>
      </c>
      <c r="M31" s="37">
        <v>2021</v>
      </c>
      <c r="N31" s="37">
        <v>0</v>
      </c>
      <c r="O31" s="37">
        <v>86.83</v>
      </c>
      <c r="P31" s="37"/>
    </row>
    <row r="32" spans="1:16" ht="11.25" customHeight="1" x14ac:dyDescent="0.25">
      <c r="A32" s="37">
        <v>31</v>
      </c>
      <c r="B32" s="37" t="s">
        <v>263</v>
      </c>
      <c r="C32" s="37" t="s">
        <v>28</v>
      </c>
      <c r="D32" s="37" t="s">
        <v>76</v>
      </c>
      <c r="E32" s="37" t="s">
        <v>25</v>
      </c>
      <c r="F32" s="37" t="s">
        <v>25</v>
      </c>
      <c r="G32" s="37" t="s">
        <v>25</v>
      </c>
      <c r="H32" s="37" t="s">
        <v>25</v>
      </c>
      <c r="I32" s="37" t="s">
        <v>412</v>
      </c>
      <c r="J32" s="37" t="s">
        <v>410</v>
      </c>
      <c r="K32" s="37" t="s">
        <v>411</v>
      </c>
      <c r="L32" s="37" t="s">
        <v>60</v>
      </c>
      <c r="M32" s="37">
        <v>2021</v>
      </c>
      <c r="N32" s="37">
        <v>0</v>
      </c>
      <c r="O32" s="37">
        <v>1057.8699999999999</v>
      </c>
      <c r="P32" s="37">
        <v>50.079900799256002</v>
      </c>
    </row>
    <row r="33" spans="1:16" ht="11.25" customHeight="1" x14ac:dyDescent="0.25">
      <c r="A33" s="37">
        <v>32</v>
      </c>
      <c r="B33" s="37" t="s">
        <v>291</v>
      </c>
      <c r="C33" s="37" t="s">
        <v>22</v>
      </c>
      <c r="D33" s="37" t="s">
        <v>75</v>
      </c>
      <c r="E33" s="37" t="s">
        <v>24</v>
      </c>
      <c r="F33" s="37" t="s">
        <v>42</v>
      </c>
      <c r="G33" s="37" t="s">
        <v>25</v>
      </c>
      <c r="H33" s="37" t="s">
        <v>25</v>
      </c>
      <c r="I33" s="37" t="s">
        <v>25</v>
      </c>
      <c r="J33" s="37" t="s">
        <v>410</v>
      </c>
      <c r="K33" s="37" t="s">
        <v>411</v>
      </c>
      <c r="L33" s="37" t="s">
        <v>60</v>
      </c>
      <c r="M33" s="37">
        <v>2021</v>
      </c>
      <c r="N33" s="37">
        <v>0</v>
      </c>
      <c r="O33" s="37">
        <v>148.85</v>
      </c>
      <c r="P33" s="37"/>
    </row>
    <row r="34" spans="1:16" ht="11.25" customHeight="1" x14ac:dyDescent="0.25">
      <c r="A34" s="37">
        <v>33</v>
      </c>
      <c r="B34" s="37" t="s">
        <v>263</v>
      </c>
      <c r="C34" s="37" t="s">
        <v>34</v>
      </c>
      <c r="D34" s="37" t="s">
        <v>23</v>
      </c>
      <c r="E34" s="37" t="s">
        <v>35</v>
      </c>
      <c r="F34" s="37" t="s">
        <v>36</v>
      </c>
      <c r="G34" s="37" t="s">
        <v>25</v>
      </c>
      <c r="H34" s="37" t="s">
        <v>25</v>
      </c>
      <c r="I34" s="37" t="s">
        <v>25</v>
      </c>
      <c r="J34" s="37" t="s">
        <v>410</v>
      </c>
      <c r="K34" s="37" t="s">
        <v>411</v>
      </c>
      <c r="L34" s="37" t="s">
        <v>60</v>
      </c>
      <c r="M34" s="37">
        <v>2021</v>
      </c>
      <c r="N34" s="37">
        <v>0</v>
      </c>
      <c r="O34" s="37">
        <v>211.67</v>
      </c>
      <c r="P34" s="37">
        <v>27.5439454395908</v>
      </c>
    </row>
    <row r="35" spans="1:16" ht="11.25" customHeight="1" x14ac:dyDescent="0.25">
      <c r="A35" s="37">
        <v>34</v>
      </c>
      <c r="B35" s="37" t="s">
        <v>291</v>
      </c>
      <c r="C35" s="37" t="s">
        <v>22</v>
      </c>
      <c r="D35" s="37" t="s">
        <v>77</v>
      </c>
      <c r="E35" s="37" t="s">
        <v>24</v>
      </c>
      <c r="F35" s="37" t="s">
        <v>39</v>
      </c>
      <c r="G35" s="37" t="s">
        <v>25</v>
      </c>
      <c r="H35" s="37" t="s">
        <v>25</v>
      </c>
      <c r="I35" s="37" t="s">
        <v>25</v>
      </c>
      <c r="J35" s="37" t="s">
        <v>410</v>
      </c>
      <c r="K35" s="37" t="s">
        <v>411</v>
      </c>
      <c r="L35" s="37" t="s">
        <v>60</v>
      </c>
      <c r="M35" s="37">
        <v>2021</v>
      </c>
      <c r="N35" s="37">
        <v>0</v>
      </c>
      <c r="O35" s="37">
        <v>223.28</v>
      </c>
      <c r="P35" s="37"/>
    </row>
    <row r="36" spans="1:16" ht="11.25" customHeight="1" x14ac:dyDescent="0.25">
      <c r="A36" s="37">
        <v>35</v>
      </c>
      <c r="B36" s="37" t="s">
        <v>263</v>
      </c>
      <c r="C36" s="37" t="s">
        <v>31</v>
      </c>
      <c r="D36" s="37" t="s">
        <v>76</v>
      </c>
      <c r="E36" s="37" t="s">
        <v>32</v>
      </c>
      <c r="F36" s="37" t="s">
        <v>25</v>
      </c>
      <c r="G36" s="37" t="s">
        <v>25</v>
      </c>
      <c r="H36" s="37" t="s">
        <v>25</v>
      </c>
      <c r="I36" s="37" t="s">
        <v>414</v>
      </c>
      <c r="J36" s="37" t="s">
        <v>410</v>
      </c>
      <c r="K36" s="37" t="s">
        <v>411</v>
      </c>
      <c r="L36" s="37" t="s">
        <v>60</v>
      </c>
      <c r="M36" s="37">
        <v>2021</v>
      </c>
      <c r="N36" s="37">
        <v>0</v>
      </c>
      <c r="O36" s="37">
        <v>239.53</v>
      </c>
      <c r="P36" s="37">
        <v>44.070312703345301</v>
      </c>
    </row>
    <row r="37" spans="1:16" ht="11.25" customHeight="1" x14ac:dyDescent="0.25">
      <c r="A37" s="37">
        <v>36</v>
      </c>
      <c r="B37" s="37" t="s">
        <v>263</v>
      </c>
      <c r="C37" s="37" t="s">
        <v>22</v>
      </c>
      <c r="D37" s="37" t="s">
        <v>76</v>
      </c>
      <c r="E37" s="37" t="s">
        <v>24</v>
      </c>
      <c r="F37" s="37" t="s">
        <v>24</v>
      </c>
      <c r="G37" s="37" t="s">
        <v>25</v>
      </c>
      <c r="H37" s="37" t="s">
        <v>25</v>
      </c>
      <c r="I37" s="37" t="s">
        <v>414</v>
      </c>
      <c r="J37" s="37" t="s">
        <v>410</v>
      </c>
      <c r="K37" s="37" t="s">
        <v>411</v>
      </c>
      <c r="L37" s="37" t="s">
        <v>60</v>
      </c>
      <c r="M37" s="37">
        <v>2021</v>
      </c>
      <c r="N37" s="37">
        <v>0</v>
      </c>
      <c r="O37" s="37">
        <v>258.61</v>
      </c>
      <c r="P37" s="37">
        <v>50.079900799256002</v>
      </c>
    </row>
    <row r="38" spans="1:16" ht="11.25" customHeight="1" x14ac:dyDescent="0.25">
      <c r="A38" s="37">
        <v>37</v>
      </c>
      <c r="B38" s="37" t="s">
        <v>263</v>
      </c>
      <c r="C38" s="37" t="s">
        <v>22</v>
      </c>
      <c r="D38" s="37" t="s">
        <v>23</v>
      </c>
      <c r="E38" s="37" t="s">
        <v>24</v>
      </c>
      <c r="F38" s="37" t="s">
        <v>40</v>
      </c>
      <c r="G38" s="37" t="s">
        <v>25</v>
      </c>
      <c r="H38" s="37" t="s">
        <v>25</v>
      </c>
      <c r="I38" s="37" t="s">
        <v>25</v>
      </c>
      <c r="J38" s="37" t="s">
        <v>410</v>
      </c>
      <c r="K38" s="37" t="s">
        <v>411</v>
      </c>
      <c r="L38" s="37" t="s">
        <v>60</v>
      </c>
      <c r="M38" s="37">
        <v>2021</v>
      </c>
      <c r="N38" s="37">
        <v>0</v>
      </c>
      <c r="O38" s="37">
        <v>294.36</v>
      </c>
      <c r="P38" s="37">
        <v>0</v>
      </c>
    </row>
    <row r="39" spans="1:16" ht="11.25" customHeight="1" x14ac:dyDescent="0.25">
      <c r="A39" s="37">
        <v>38</v>
      </c>
      <c r="B39" s="37" t="s">
        <v>263</v>
      </c>
      <c r="C39" s="37" t="s">
        <v>22</v>
      </c>
      <c r="D39" s="37" t="s">
        <v>23</v>
      </c>
      <c r="E39" s="37" t="s">
        <v>24</v>
      </c>
      <c r="F39" s="37" t="s">
        <v>42</v>
      </c>
      <c r="G39" s="37" t="s">
        <v>25</v>
      </c>
      <c r="H39" s="37" t="s">
        <v>25</v>
      </c>
      <c r="I39" s="37" t="s">
        <v>25</v>
      </c>
      <c r="J39" s="37" t="s">
        <v>410</v>
      </c>
      <c r="K39" s="37" t="s">
        <v>411</v>
      </c>
      <c r="L39" s="37" t="s">
        <v>60</v>
      </c>
      <c r="M39" s="37">
        <v>2021</v>
      </c>
      <c r="N39" s="37">
        <v>0</v>
      </c>
      <c r="O39" s="37">
        <v>176.61</v>
      </c>
      <c r="P39" s="37">
        <v>0</v>
      </c>
    </row>
    <row r="40" spans="1:16" ht="11.25" customHeight="1" x14ac:dyDescent="0.25">
      <c r="A40" s="37">
        <v>39</v>
      </c>
      <c r="B40" s="37" t="s">
        <v>291</v>
      </c>
      <c r="C40" s="37" t="s">
        <v>31</v>
      </c>
      <c r="D40" s="37" t="s">
        <v>75</v>
      </c>
      <c r="E40" s="37" t="s">
        <v>32</v>
      </c>
      <c r="F40" s="37" t="s">
        <v>25</v>
      </c>
      <c r="G40" s="37" t="s">
        <v>25</v>
      </c>
      <c r="H40" s="37" t="s">
        <v>25</v>
      </c>
      <c r="I40" s="37" t="s">
        <v>25</v>
      </c>
      <c r="J40" s="37" t="s">
        <v>410</v>
      </c>
      <c r="K40" s="37" t="s">
        <v>411</v>
      </c>
      <c r="L40" s="37" t="s">
        <v>60</v>
      </c>
      <c r="M40" s="37">
        <v>2021</v>
      </c>
      <c r="N40" s="37">
        <v>0</v>
      </c>
      <c r="O40" s="37">
        <v>218.32</v>
      </c>
      <c r="P40" s="37"/>
    </row>
    <row r="41" spans="1:16" ht="11.25" customHeight="1" x14ac:dyDescent="0.25">
      <c r="A41" s="37">
        <v>40</v>
      </c>
      <c r="B41" s="37" t="s">
        <v>291</v>
      </c>
      <c r="C41" s="37" t="s">
        <v>28</v>
      </c>
      <c r="D41" s="37" t="s">
        <v>59</v>
      </c>
      <c r="E41" s="37" t="s">
        <v>25</v>
      </c>
      <c r="F41" s="37" t="s">
        <v>25</v>
      </c>
      <c r="G41" s="37" t="s">
        <v>25</v>
      </c>
      <c r="H41" s="37" t="s">
        <v>25</v>
      </c>
      <c r="I41" s="37" t="s">
        <v>414</v>
      </c>
      <c r="J41" s="37" t="s">
        <v>410</v>
      </c>
      <c r="K41" s="37" t="s">
        <v>411</v>
      </c>
      <c r="L41" s="37" t="s">
        <v>60</v>
      </c>
      <c r="M41" s="37">
        <v>2021</v>
      </c>
      <c r="N41" s="37">
        <v>0</v>
      </c>
      <c r="O41" s="37">
        <v>248.09</v>
      </c>
      <c r="P41" s="37"/>
    </row>
    <row r="42" spans="1:16" ht="11.25" customHeight="1" x14ac:dyDescent="0.25">
      <c r="A42" s="37">
        <v>41</v>
      </c>
      <c r="B42" s="37" t="s">
        <v>263</v>
      </c>
      <c r="C42" s="37" t="s">
        <v>31</v>
      </c>
      <c r="D42" s="37" t="s">
        <v>23</v>
      </c>
      <c r="E42" s="37" t="s">
        <v>32</v>
      </c>
      <c r="F42" s="37" t="s">
        <v>25</v>
      </c>
      <c r="G42" s="37" t="s">
        <v>25</v>
      </c>
      <c r="H42" s="37" t="s">
        <v>25</v>
      </c>
      <c r="I42" s="37" t="s">
        <v>25</v>
      </c>
      <c r="J42" s="37" t="s">
        <v>410</v>
      </c>
      <c r="K42" s="37" t="s">
        <v>411</v>
      </c>
      <c r="L42" s="37" t="s">
        <v>60</v>
      </c>
      <c r="M42" s="37">
        <v>2021</v>
      </c>
      <c r="N42" s="37">
        <v>0</v>
      </c>
      <c r="O42" s="37">
        <v>338.67</v>
      </c>
      <c r="P42" s="37">
        <v>44.070312703345301</v>
      </c>
    </row>
    <row r="43" spans="1:16" ht="11.25" customHeight="1" x14ac:dyDescent="0.25">
      <c r="A43" s="37">
        <v>42</v>
      </c>
      <c r="B43" s="37" t="s">
        <v>263</v>
      </c>
      <c r="C43" s="37" t="s">
        <v>28</v>
      </c>
      <c r="D43" s="37" t="s">
        <v>23</v>
      </c>
      <c r="E43" s="37" t="s">
        <v>25</v>
      </c>
      <c r="F43" s="37" t="s">
        <v>25</v>
      </c>
      <c r="G43" s="37" t="s">
        <v>25</v>
      </c>
      <c r="H43" s="37" t="s">
        <v>25</v>
      </c>
      <c r="I43" s="37" t="s">
        <v>25</v>
      </c>
      <c r="J43" s="37" t="s">
        <v>410</v>
      </c>
      <c r="K43" s="37" t="s">
        <v>411</v>
      </c>
      <c r="L43" s="37" t="s">
        <v>60</v>
      </c>
      <c r="M43" s="37">
        <v>2021</v>
      </c>
      <c r="N43" s="37">
        <v>0</v>
      </c>
      <c r="O43" s="37">
        <v>384.85</v>
      </c>
      <c r="P43" s="37">
        <v>50.079900799256002</v>
      </c>
    </row>
    <row r="44" spans="1:16" ht="11.25" customHeight="1" x14ac:dyDescent="0.25">
      <c r="A44" s="37">
        <v>43</v>
      </c>
      <c r="B44" s="37" t="s">
        <v>291</v>
      </c>
      <c r="C44" s="37" t="s">
        <v>22</v>
      </c>
      <c r="D44" s="37" t="s">
        <v>77</v>
      </c>
      <c r="E44" s="37" t="s">
        <v>24</v>
      </c>
      <c r="F44" s="37" t="s">
        <v>41</v>
      </c>
      <c r="G44" s="37" t="s">
        <v>25</v>
      </c>
      <c r="H44" s="37" t="s">
        <v>25</v>
      </c>
      <c r="I44" s="37" t="s">
        <v>25</v>
      </c>
      <c r="J44" s="37" t="s">
        <v>410</v>
      </c>
      <c r="K44" s="37" t="s">
        <v>411</v>
      </c>
      <c r="L44" s="37" t="s">
        <v>60</v>
      </c>
      <c r="M44" s="37">
        <v>2021</v>
      </c>
      <c r="N44" s="37">
        <v>0</v>
      </c>
      <c r="O44" s="37">
        <v>86.83</v>
      </c>
      <c r="P44" s="37"/>
    </row>
    <row r="45" spans="1:16" ht="11.25" customHeight="1" x14ac:dyDescent="0.25">
      <c r="A45" s="37">
        <v>44</v>
      </c>
      <c r="B45" s="37" t="s">
        <v>263</v>
      </c>
      <c r="C45" s="37" t="s">
        <v>28</v>
      </c>
      <c r="D45" s="37" t="s">
        <v>76</v>
      </c>
      <c r="E45" s="37" t="s">
        <v>25</v>
      </c>
      <c r="F45" s="37" t="s">
        <v>25</v>
      </c>
      <c r="G45" s="37" t="s">
        <v>25</v>
      </c>
      <c r="H45" s="37" t="s">
        <v>25</v>
      </c>
      <c r="I45" s="37" t="s">
        <v>414</v>
      </c>
      <c r="J45" s="37" t="s">
        <v>410</v>
      </c>
      <c r="K45" s="37" t="s">
        <v>411</v>
      </c>
      <c r="L45" s="37" t="s">
        <v>60</v>
      </c>
      <c r="M45" s="37">
        <v>2021</v>
      </c>
      <c r="N45" s="37">
        <v>0</v>
      </c>
      <c r="O45" s="37">
        <v>299.7</v>
      </c>
      <c r="P45" s="37">
        <v>50.079900799256002</v>
      </c>
    </row>
    <row r="46" spans="1:16" ht="11.25" customHeight="1" x14ac:dyDescent="0.25">
      <c r="A46" s="37">
        <v>45</v>
      </c>
      <c r="B46" s="37" t="s">
        <v>291</v>
      </c>
      <c r="C46" s="37" t="s">
        <v>31</v>
      </c>
      <c r="D46" s="37" t="s">
        <v>59</v>
      </c>
      <c r="E46" s="37" t="s">
        <v>32</v>
      </c>
      <c r="F46" s="37" t="s">
        <v>79</v>
      </c>
      <c r="G46" s="37" t="s">
        <v>25</v>
      </c>
      <c r="H46" s="37" t="s">
        <v>25</v>
      </c>
      <c r="I46" s="37" t="s">
        <v>414</v>
      </c>
      <c r="J46" s="37" t="s">
        <v>410</v>
      </c>
      <c r="K46" s="37" t="s">
        <v>411</v>
      </c>
      <c r="L46" s="37" t="s">
        <v>60</v>
      </c>
      <c r="M46" s="37">
        <v>2021</v>
      </c>
      <c r="N46" s="37">
        <v>0</v>
      </c>
      <c r="O46" s="37">
        <v>218.32</v>
      </c>
      <c r="P46" s="37"/>
    </row>
    <row r="47" spans="1:16" ht="11.25" customHeight="1" x14ac:dyDescent="0.25">
      <c r="A47" s="37">
        <v>46</v>
      </c>
      <c r="B47" s="37" t="s">
        <v>291</v>
      </c>
      <c r="C47" s="37" t="s">
        <v>28</v>
      </c>
      <c r="D47" s="37" t="s">
        <v>77</v>
      </c>
      <c r="E47" s="37" t="s">
        <v>25</v>
      </c>
      <c r="F47" s="37" t="s">
        <v>25</v>
      </c>
      <c r="G47" s="37" t="s">
        <v>25</v>
      </c>
      <c r="H47" s="37" t="s">
        <v>25</v>
      </c>
      <c r="I47" s="37" t="s">
        <v>25</v>
      </c>
      <c r="J47" s="37" t="s">
        <v>410</v>
      </c>
      <c r="K47" s="37" t="s">
        <v>411</v>
      </c>
      <c r="L47" s="37" t="s">
        <v>60</v>
      </c>
      <c r="M47" s="37">
        <v>2021</v>
      </c>
      <c r="N47" s="37">
        <v>0</v>
      </c>
      <c r="O47" s="37">
        <v>248.09</v>
      </c>
      <c r="P47" s="37"/>
    </row>
    <row r="48" spans="1:16" ht="11.25" customHeight="1" x14ac:dyDescent="0.25">
      <c r="A48" s="37">
        <v>47</v>
      </c>
      <c r="B48" s="37" t="s">
        <v>291</v>
      </c>
      <c r="C48" s="37" t="s">
        <v>28</v>
      </c>
      <c r="D48" s="37" t="s">
        <v>59</v>
      </c>
      <c r="E48" s="37" t="s">
        <v>25</v>
      </c>
      <c r="F48" s="37" t="s">
        <v>25</v>
      </c>
      <c r="G48" s="37" t="s">
        <v>25</v>
      </c>
      <c r="H48" s="37" t="s">
        <v>25</v>
      </c>
      <c r="I48" s="37" t="s">
        <v>412</v>
      </c>
      <c r="J48" s="37" t="s">
        <v>410</v>
      </c>
      <c r="K48" s="37" t="s">
        <v>411</v>
      </c>
      <c r="L48" s="37" t="s">
        <v>60</v>
      </c>
      <c r="M48" s="37">
        <v>2021</v>
      </c>
      <c r="N48" s="37">
        <v>0</v>
      </c>
      <c r="O48" s="37">
        <v>248.09</v>
      </c>
      <c r="P48" s="37"/>
    </row>
    <row r="49" spans="1:16" ht="11.25" customHeight="1" x14ac:dyDescent="0.25">
      <c r="A49" s="37">
        <v>48</v>
      </c>
      <c r="B49" s="37" t="s">
        <v>291</v>
      </c>
      <c r="C49" s="37" t="s">
        <v>31</v>
      </c>
      <c r="D49" s="37" t="s">
        <v>75</v>
      </c>
      <c r="E49" s="37" t="s">
        <v>32</v>
      </c>
      <c r="F49" s="37" t="s">
        <v>80</v>
      </c>
      <c r="G49" s="37" t="s">
        <v>25</v>
      </c>
      <c r="H49" s="37" t="s">
        <v>25</v>
      </c>
      <c r="I49" s="37" t="s">
        <v>25</v>
      </c>
      <c r="J49" s="37" t="s">
        <v>410</v>
      </c>
      <c r="K49" s="37" t="s">
        <v>411</v>
      </c>
      <c r="L49" s="37" t="s">
        <v>60</v>
      </c>
      <c r="M49" s="37">
        <v>2021</v>
      </c>
      <c r="N49" s="37">
        <v>0</v>
      </c>
      <c r="O49" s="37">
        <v>208.4</v>
      </c>
      <c r="P49" s="37"/>
    </row>
    <row r="50" spans="1:16" ht="11.25" customHeight="1" x14ac:dyDescent="0.25">
      <c r="A50" s="37">
        <v>49</v>
      </c>
      <c r="B50" s="37" t="s">
        <v>291</v>
      </c>
      <c r="C50" s="37" t="s">
        <v>31</v>
      </c>
      <c r="D50" s="37" t="s">
        <v>59</v>
      </c>
      <c r="E50" s="37" t="s">
        <v>32</v>
      </c>
      <c r="F50" s="37" t="s">
        <v>79</v>
      </c>
      <c r="G50" s="37" t="s">
        <v>25</v>
      </c>
      <c r="H50" s="37" t="s">
        <v>25</v>
      </c>
      <c r="I50" s="37" t="s">
        <v>409</v>
      </c>
      <c r="J50" s="37" t="s">
        <v>410</v>
      </c>
      <c r="K50" s="37" t="s">
        <v>411</v>
      </c>
      <c r="L50" s="37" t="s">
        <v>60</v>
      </c>
      <c r="M50" s="37">
        <v>2021</v>
      </c>
      <c r="N50" s="37">
        <v>0</v>
      </c>
      <c r="O50" s="37">
        <v>218.32</v>
      </c>
      <c r="P50" s="37"/>
    </row>
    <row r="51" spans="1:16" ht="11.25" customHeight="1" x14ac:dyDescent="0.25">
      <c r="A51" s="37">
        <v>50</v>
      </c>
      <c r="B51" s="37" t="s">
        <v>291</v>
      </c>
      <c r="C51" s="37" t="s">
        <v>28</v>
      </c>
      <c r="D51" s="37" t="s">
        <v>75</v>
      </c>
      <c r="E51" s="37" t="s">
        <v>25</v>
      </c>
      <c r="F51" s="37" t="s">
        <v>25</v>
      </c>
      <c r="G51" s="37" t="s">
        <v>25</v>
      </c>
      <c r="H51" s="37" t="s">
        <v>25</v>
      </c>
      <c r="I51" s="37" t="s">
        <v>25</v>
      </c>
      <c r="J51" s="37" t="s">
        <v>410</v>
      </c>
      <c r="K51" s="37" t="s">
        <v>411</v>
      </c>
      <c r="L51" s="37" t="s">
        <v>60</v>
      </c>
      <c r="M51" s="37">
        <v>2021</v>
      </c>
      <c r="N51" s="37">
        <v>0</v>
      </c>
      <c r="O51" s="37">
        <v>248.09</v>
      </c>
      <c r="P51" s="37"/>
    </row>
    <row r="52" spans="1:16" ht="11.25" customHeight="1" x14ac:dyDescent="0.25">
      <c r="A52" s="37">
        <v>51</v>
      </c>
      <c r="B52" s="37" t="s">
        <v>291</v>
      </c>
      <c r="C52" s="37" t="s">
        <v>31</v>
      </c>
      <c r="D52" s="37" t="s">
        <v>77</v>
      </c>
      <c r="E52" s="37" t="s">
        <v>32</v>
      </c>
      <c r="F52" s="37" t="s">
        <v>25</v>
      </c>
      <c r="G52" s="37" t="s">
        <v>25</v>
      </c>
      <c r="H52" s="37" t="s">
        <v>25</v>
      </c>
      <c r="I52" s="37" t="s">
        <v>25</v>
      </c>
      <c r="J52" s="37" t="s">
        <v>410</v>
      </c>
      <c r="K52" s="37" t="s">
        <v>411</v>
      </c>
      <c r="L52" s="37" t="s">
        <v>60</v>
      </c>
      <c r="M52" s="37">
        <v>2021</v>
      </c>
      <c r="N52" s="37">
        <v>0</v>
      </c>
      <c r="O52" s="37">
        <v>218.32</v>
      </c>
      <c r="P52" s="37"/>
    </row>
    <row r="53" spans="1:16" ht="11.25" customHeight="1" x14ac:dyDescent="0.25">
      <c r="A53" s="37">
        <v>52</v>
      </c>
      <c r="B53" s="37" t="s">
        <v>291</v>
      </c>
      <c r="C53" s="37" t="s">
        <v>34</v>
      </c>
      <c r="D53" s="37" t="s">
        <v>75</v>
      </c>
      <c r="E53" s="37" t="s">
        <v>35</v>
      </c>
      <c r="F53" s="37" t="s">
        <v>36</v>
      </c>
      <c r="G53" s="37" t="s">
        <v>25</v>
      </c>
      <c r="H53" s="37" t="s">
        <v>25</v>
      </c>
      <c r="I53" s="37" t="s">
        <v>25</v>
      </c>
      <c r="J53" s="37" t="s">
        <v>410</v>
      </c>
      <c r="K53" s="37" t="s">
        <v>411</v>
      </c>
      <c r="L53" s="37" t="s">
        <v>60</v>
      </c>
      <c r="M53" s="37">
        <v>2021</v>
      </c>
      <c r="N53" s="37">
        <v>0</v>
      </c>
      <c r="O53" s="37">
        <v>136.44999999999999</v>
      </c>
      <c r="P53" s="37"/>
    </row>
    <row r="54" spans="1:16" ht="11.25" customHeight="1" x14ac:dyDescent="0.25">
      <c r="A54" s="37">
        <v>53</v>
      </c>
      <c r="B54" s="37" t="s">
        <v>291</v>
      </c>
      <c r="C54" s="37" t="s">
        <v>31</v>
      </c>
      <c r="D54" s="37" t="s">
        <v>59</v>
      </c>
      <c r="E54" s="37" t="s">
        <v>32</v>
      </c>
      <c r="F54" s="37" t="s">
        <v>79</v>
      </c>
      <c r="G54" s="37" t="s">
        <v>25</v>
      </c>
      <c r="H54" s="37" t="s">
        <v>25</v>
      </c>
      <c r="I54" s="37" t="s">
        <v>412</v>
      </c>
      <c r="J54" s="37" t="s">
        <v>410</v>
      </c>
      <c r="K54" s="37" t="s">
        <v>411</v>
      </c>
      <c r="L54" s="37" t="s">
        <v>60</v>
      </c>
      <c r="M54" s="37">
        <v>2021</v>
      </c>
      <c r="N54" s="37">
        <v>0</v>
      </c>
      <c r="O54" s="37">
        <v>218.32</v>
      </c>
      <c r="P54" s="37"/>
    </row>
    <row r="55" spans="1:16" ht="11.25" customHeight="1" x14ac:dyDescent="0.25">
      <c r="A55" s="37">
        <v>54</v>
      </c>
      <c r="B55" s="37" t="s">
        <v>291</v>
      </c>
      <c r="C55" s="37" t="s">
        <v>22</v>
      </c>
      <c r="D55" s="37" t="s">
        <v>77</v>
      </c>
      <c r="E55" s="37" t="s">
        <v>24</v>
      </c>
      <c r="F55" s="37" t="s">
        <v>24</v>
      </c>
      <c r="G55" s="37" t="s">
        <v>25</v>
      </c>
      <c r="H55" s="37" t="s">
        <v>25</v>
      </c>
      <c r="I55" s="37" t="s">
        <v>25</v>
      </c>
      <c r="J55" s="37" t="s">
        <v>410</v>
      </c>
      <c r="K55" s="37" t="s">
        <v>411</v>
      </c>
      <c r="L55" s="37" t="s">
        <v>60</v>
      </c>
      <c r="M55" s="37">
        <v>2021</v>
      </c>
      <c r="N55" s="37">
        <v>0</v>
      </c>
      <c r="O55" s="37">
        <v>248.09</v>
      </c>
      <c r="P55" s="37"/>
    </row>
    <row r="56" spans="1:16" ht="11.25" customHeight="1" x14ac:dyDescent="0.25">
      <c r="A56" s="37">
        <v>55</v>
      </c>
      <c r="B56" s="37" t="s">
        <v>291</v>
      </c>
      <c r="C56" s="37" t="s">
        <v>22</v>
      </c>
      <c r="D56" s="37" t="s">
        <v>59</v>
      </c>
      <c r="E56" s="37" t="s">
        <v>24</v>
      </c>
      <c r="F56" s="37" t="s">
        <v>24</v>
      </c>
      <c r="G56" s="37" t="s">
        <v>25</v>
      </c>
      <c r="H56" s="37" t="s">
        <v>25</v>
      </c>
      <c r="I56" s="37" t="s">
        <v>414</v>
      </c>
      <c r="J56" s="37" t="s">
        <v>410</v>
      </c>
      <c r="K56" s="37" t="s">
        <v>411</v>
      </c>
      <c r="L56" s="37" t="s">
        <v>60</v>
      </c>
      <c r="M56" s="37">
        <v>2021</v>
      </c>
      <c r="N56" s="37">
        <v>0</v>
      </c>
      <c r="O56" s="37">
        <v>248.09</v>
      </c>
      <c r="P56" s="37"/>
    </row>
    <row r="57" spans="1:16" ht="11.25" customHeight="1" x14ac:dyDescent="0.25">
      <c r="A57" s="37">
        <v>56</v>
      </c>
      <c r="B57" s="37" t="s">
        <v>291</v>
      </c>
      <c r="C57" s="37" t="s">
        <v>22</v>
      </c>
      <c r="D57" s="37" t="s">
        <v>59</v>
      </c>
      <c r="E57" s="37" t="s">
        <v>24</v>
      </c>
      <c r="F57" s="37" t="s">
        <v>24</v>
      </c>
      <c r="G57" s="37" t="s">
        <v>25</v>
      </c>
      <c r="H57" s="37" t="s">
        <v>25</v>
      </c>
      <c r="I57" s="37" t="s">
        <v>412</v>
      </c>
      <c r="J57" s="37" t="s">
        <v>410</v>
      </c>
      <c r="K57" s="37" t="s">
        <v>411</v>
      </c>
      <c r="L57" s="37" t="s">
        <v>60</v>
      </c>
      <c r="M57" s="37">
        <v>2021</v>
      </c>
      <c r="N57" s="37">
        <v>0</v>
      </c>
      <c r="O57" s="37">
        <v>248.09</v>
      </c>
      <c r="P57" s="37"/>
    </row>
    <row r="58" spans="1:16" ht="11.25" customHeight="1" x14ac:dyDescent="0.25">
      <c r="A58" s="37">
        <v>57</v>
      </c>
      <c r="B58" s="37" t="s">
        <v>291</v>
      </c>
      <c r="C58" s="37" t="s">
        <v>31</v>
      </c>
      <c r="D58" s="37" t="s">
        <v>59</v>
      </c>
      <c r="E58" s="37" t="s">
        <v>32</v>
      </c>
      <c r="F58" s="37" t="s">
        <v>25</v>
      </c>
      <c r="G58" s="37" t="s">
        <v>25</v>
      </c>
      <c r="H58" s="37" t="s">
        <v>25</v>
      </c>
      <c r="I58" s="37" t="s">
        <v>409</v>
      </c>
      <c r="J58" s="37" t="s">
        <v>410</v>
      </c>
      <c r="K58" s="37" t="s">
        <v>411</v>
      </c>
      <c r="L58" s="37" t="s">
        <v>60</v>
      </c>
      <c r="M58" s="37">
        <v>2021</v>
      </c>
      <c r="N58" s="37">
        <v>0</v>
      </c>
      <c r="O58" s="37">
        <v>218.32</v>
      </c>
      <c r="P58" s="37"/>
    </row>
    <row r="59" spans="1:16" ht="11.25" customHeight="1" x14ac:dyDescent="0.25">
      <c r="A59" s="37">
        <v>58</v>
      </c>
      <c r="B59" s="37" t="s">
        <v>291</v>
      </c>
      <c r="C59" s="37" t="s">
        <v>31</v>
      </c>
      <c r="D59" s="37" t="s">
        <v>59</v>
      </c>
      <c r="E59" s="37" t="s">
        <v>32</v>
      </c>
      <c r="F59" s="37" t="s">
        <v>80</v>
      </c>
      <c r="G59" s="37" t="s">
        <v>25</v>
      </c>
      <c r="H59" s="37" t="s">
        <v>25</v>
      </c>
      <c r="I59" s="37" t="s">
        <v>409</v>
      </c>
      <c r="J59" s="37" t="s">
        <v>410</v>
      </c>
      <c r="K59" s="37" t="s">
        <v>411</v>
      </c>
      <c r="L59" s="37" t="s">
        <v>60</v>
      </c>
      <c r="M59" s="37">
        <v>2021</v>
      </c>
      <c r="N59" s="37">
        <v>0</v>
      </c>
      <c r="O59" s="37">
        <v>208.4</v>
      </c>
      <c r="P59" s="37"/>
    </row>
    <row r="60" spans="1:16" ht="11.25" customHeight="1" x14ac:dyDescent="0.25">
      <c r="A60" s="37">
        <v>59</v>
      </c>
      <c r="B60" s="37" t="s">
        <v>291</v>
      </c>
      <c r="C60" s="37" t="s">
        <v>28</v>
      </c>
      <c r="D60" s="37" t="s">
        <v>59</v>
      </c>
      <c r="E60" s="37" t="s">
        <v>25</v>
      </c>
      <c r="F60" s="37" t="s">
        <v>25</v>
      </c>
      <c r="G60" s="37" t="s">
        <v>25</v>
      </c>
      <c r="H60" s="37" t="s">
        <v>25</v>
      </c>
      <c r="I60" s="37" t="s">
        <v>409</v>
      </c>
      <c r="J60" s="37" t="s">
        <v>410</v>
      </c>
      <c r="K60" s="37" t="s">
        <v>411</v>
      </c>
      <c r="L60" s="37" t="s">
        <v>60</v>
      </c>
      <c r="M60" s="37">
        <v>2021</v>
      </c>
      <c r="N60" s="37">
        <v>0</v>
      </c>
      <c r="O60" s="37">
        <v>248.09</v>
      </c>
      <c r="P60" s="37"/>
    </row>
    <row r="61" spans="1:16" ht="11.25" customHeight="1" x14ac:dyDescent="0.25">
      <c r="A61" s="37">
        <v>60</v>
      </c>
      <c r="B61" s="37" t="s">
        <v>291</v>
      </c>
      <c r="C61" s="37" t="s">
        <v>31</v>
      </c>
      <c r="D61" s="37" t="s">
        <v>59</v>
      </c>
      <c r="E61" s="37" t="s">
        <v>32</v>
      </c>
      <c r="F61" s="37" t="s">
        <v>80</v>
      </c>
      <c r="G61" s="37" t="s">
        <v>25</v>
      </c>
      <c r="H61" s="37" t="s">
        <v>25</v>
      </c>
      <c r="I61" s="37" t="s">
        <v>414</v>
      </c>
      <c r="J61" s="37" t="s">
        <v>410</v>
      </c>
      <c r="K61" s="37" t="s">
        <v>411</v>
      </c>
      <c r="L61" s="37" t="s">
        <v>60</v>
      </c>
      <c r="M61" s="37">
        <v>2021</v>
      </c>
      <c r="N61" s="37">
        <v>0</v>
      </c>
      <c r="O61" s="37">
        <v>208.4</v>
      </c>
      <c r="P61" s="37"/>
    </row>
    <row r="62" spans="1:16" ht="11.25" customHeight="1" x14ac:dyDescent="0.25">
      <c r="A62" s="37">
        <v>61</v>
      </c>
      <c r="B62" s="37" t="s">
        <v>291</v>
      </c>
      <c r="C62" s="37" t="s">
        <v>22</v>
      </c>
      <c r="D62" s="37" t="s">
        <v>77</v>
      </c>
      <c r="E62" s="37" t="s">
        <v>24</v>
      </c>
      <c r="F62" s="37" t="s">
        <v>42</v>
      </c>
      <c r="G62" s="37" t="s">
        <v>25</v>
      </c>
      <c r="H62" s="37" t="s">
        <v>25</v>
      </c>
      <c r="I62" s="37" t="s">
        <v>25</v>
      </c>
      <c r="J62" s="37" t="s">
        <v>410</v>
      </c>
      <c r="K62" s="37" t="s">
        <v>411</v>
      </c>
      <c r="L62" s="37" t="s">
        <v>60</v>
      </c>
      <c r="M62" s="37">
        <v>2021</v>
      </c>
      <c r="N62" s="37">
        <v>0</v>
      </c>
      <c r="O62" s="37">
        <v>148.85</v>
      </c>
      <c r="P62" s="37"/>
    </row>
    <row r="63" spans="1:16" ht="11.25" customHeight="1" x14ac:dyDescent="0.25">
      <c r="A63" s="37">
        <v>62</v>
      </c>
      <c r="B63" s="37" t="s">
        <v>291</v>
      </c>
      <c r="C63" s="37" t="s">
        <v>22</v>
      </c>
      <c r="D63" s="37" t="s">
        <v>75</v>
      </c>
      <c r="E63" s="37" t="s">
        <v>24</v>
      </c>
      <c r="F63" s="37" t="s">
        <v>40</v>
      </c>
      <c r="G63" s="37" t="s">
        <v>25</v>
      </c>
      <c r="H63" s="37" t="s">
        <v>25</v>
      </c>
      <c r="I63" s="37" t="s">
        <v>25</v>
      </c>
      <c r="J63" s="37" t="s">
        <v>410</v>
      </c>
      <c r="K63" s="37" t="s">
        <v>411</v>
      </c>
      <c r="L63" s="37" t="s">
        <v>60</v>
      </c>
      <c r="M63" s="37">
        <v>2021</v>
      </c>
      <c r="N63" s="37">
        <v>0</v>
      </c>
      <c r="O63" s="37">
        <v>248.09</v>
      </c>
      <c r="P63" s="37"/>
    </row>
    <row r="64" spans="1:16" ht="11.25" customHeight="1" x14ac:dyDescent="0.25">
      <c r="A64" s="37">
        <v>63</v>
      </c>
      <c r="B64" s="37" t="s">
        <v>263</v>
      </c>
      <c r="C64" s="37" t="s">
        <v>28</v>
      </c>
      <c r="D64" s="37" t="s">
        <v>76</v>
      </c>
      <c r="E64" s="37" t="s">
        <v>25</v>
      </c>
      <c r="F64" s="37" t="s">
        <v>25</v>
      </c>
      <c r="G64" s="37" t="s">
        <v>25</v>
      </c>
      <c r="H64" s="37" t="s">
        <v>25</v>
      </c>
      <c r="I64" s="37" t="s">
        <v>409</v>
      </c>
      <c r="J64" s="37" t="s">
        <v>410</v>
      </c>
      <c r="K64" s="37" t="s">
        <v>411</v>
      </c>
      <c r="L64" s="37" t="s">
        <v>60</v>
      </c>
      <c r="M64" s="37">
        <v>2021</v>
      </c>
      <c r="N64" s="37">
        <v>0</v>
      </c>
      <c r="O64" s="37">
        <v>678.75</v>
      </c>
      <c r="P64" s="37">
        <v>50.079900799256002</v>
      </c>
    </row>
    <row r="65" spans="1:16" ht="11.25" customHeight="1" x14ac:dyDescent="0.25">
      <c r="A65" s="37">
        <v>64</v>
      </c>
      <c r="B65" s="37" t="s">
        <v>263</v>
      </c>
      <c r="C65" s="37" t="s">
        <v>28</v>
      </c>
      <c r="D65" s="37" t="s">
        <v>78</v>
      </c>
      <c r="E65" s="37" t="s">
        <v>25</v>
      </c>
      <c r="F65" s="37" t="s">
        <v>25</v>
      </c>
      <c r="G65" s="37" t="s">
        <v>25</v>
      </c>
      <c r="H65" s="37" t="s">
        <v>25</v>
      </c>
      <c r="I65" s="37" t="s">
        <v>25</v>
      </c>
      <c r="J65" s="37" t="s">
        <v>410</v>
      </c>
      <c r="K65" s="37" t="s">
        <v>411</v>
      </c>
      <c r="L65" s="37" t="s">
        <v>60</v>
      </c>
      <c r="M65" s="37">
        <v>2021</v>
      </c>
      <c r="N65" s="37">
        <v>0</v>
      </c>
      <c r="O65" s="37">
        <v>384.85</v>
      </c>
      <c r="P65" s="37">
        <v>50.079900799256002</v>
      </c>
    </row>
    <row r="66" spans="1:16" ht="11.25" customHeight="1" x14ac:dyDescent="0.25">
      <c r="A66" s="37">
        <v>65</v>
      </c>
      <c r="B66" s="37" t="s">
        <v>291</v>
      </c>
      <c r="C66" s="37" t="s">
        <v>31</v>
      </c>
      <c r="D66" s="37" t="s">
        <v>75</v>
      </c>
      <c r="E66" s="37" t="s">
        <v>32</v>
      </c>
      <c r="F66" s="37" t="s">
        <v>79</v>
      </c>
      <c r="G66" s="37" t="s">
        <v>25</v>
      </c>
      <c r="H66" s="37" t="s">
        <v>25</v>
      </c>
      <c r="I66" s="37" t="s">
        <v>25</v>
      </c>
      <c r="J66" s="37" t="s">
        <v>410</v>
      </c>
      <c r="K66" s="37" t="s">
        <v>411</v>
      </c>
      <c r="L66" s="37" t="s">
        <v>60</v>
      </c>
      <c r="M66" s="37">
        <v>2021</v>
      </c>
      <c r="N66" s="37">
        <v>0</v>
      </c>
      <c r="O66" s="37">
        <v>218.32</v>
      </c>
      <c r="P66" s="37"/>
    </row>
    <row r="67" spans="1:16" ht="11.25" customHeight="1" x14ac:dyDescent="0.25">
      <c r="A67" s="37">
        <v>66</v>
      </c>
      <c r="B67" s="37" t="s">
        <v>291</v>
      </c>
      <c r="C67" s="37" t="s">
        <v>31</v>
      </c>
      <c r="D67" s="37" t="s">
        <v>59</v>
      </c>
      <c r="E67" s="37" t="s">
        <v>32</v>
      </c>
      <c r="F67" s="37" t="s">
        <v>80</v>
      </c>
      <c r="G67" s="37" t="s">
        <v>25</v>
      </c>
      <c r="H67" s="37" t="s">
        <v>25</v>
      </c>
      <c r="I67" s="37" t="s">
        <v>412</v>
      </c>
      <c r="J67" s="37" t="s">
        <v>410</v>
      </c>
      <c r="K67" s="37" t="s">
        <v>411</v>
      </c>
      <c r="L67" s="37" t="s">
        <v>60</v>
      </c>
      <c r="M67" s="37">
        <v>2021</v>
      </c>
      <c r="N67" s="37">
        <v>0</v>
      </c>
      <c r="O67" s="37">
        <v>208.4</v>
      </c>
      <c r="P67" s="37"/>
    </row>
    <row r="68" spans="1:16" ht="11.25" customHeight="1" x14ac:dyDescent="0.25">
      <c r="A68" s="37">
        <v>67</v>
      </c>
      <c r="B68" s="37" t="s">
        <v>291</v>
      </c>
      <c r="C68" s="37" t="s">
        <v>31</v>
      </c>
      <c r="D68" s="37" t="s">
        <v>59</v>
      </c>
      <c r="E68" s="37" t="s">
        <v>32</v>
      </c>
      <c r="F68" s="37" t="s">
        <v>25</v>
      </c>
      <c r="G68" s="37" t="s">
        <v>25</v>
      </c>
      <c r="H68" s="37" t="s">
        <v>25</v>
      </c>
      <c r="I68" s="37" t="s">
        <v>412</v>
      </c>
      <c r="J68" s="37" t="s">
        <v>410</v>
      </c>
      <c r="K68" s="37" t="s">
        <v>411</v>
      </c>
      <c r="L68" s="37" t="s">
        <v>60</v>
      </c>
      <c r="M68" s="37">
        <v>2021</v>
      </c>
      <c r="N68" s="37">
        <v>0</v>
      </c>
      <c r="O68" s="37">
        <v>218.32</v>
      </c>
      <c r="P68" s="37"/>
    </row>
    <row r="69" spans="1:16" ht="11.25" customHeight="1" x14ac:dyDescent="0.25">
      <c r="A69" s="37">
        <v>68</v>
      </c>
      <c r="B69" s="37" t="s">
        <v>291</v>
      </c>
      <c r="C69" s="37" t="s">
        <v>31</v>
      </c>
      <c r="D69" s="37" t="s">
        <v>77</v>
      </c>
      <c r="E69" s="37" t="s">
        <v>32</v>
      </c>
      <c r="F69" s="37" t="s">
        <v>80</v>
      </c>
      <c r="G69" s="37" t="s">
        <v>25</v>
      </c>
      <c r="H69" s="37" t="s">
        <v>25</v>
      </c>
      <c r="I69" s="37" t="s">
        <v>25</v>
      </c>
      <c r="J69" s="37" t="s">
        <v>410</v>
      </c>
      <c r="K69" s="37" t="s">
        <v>411</v>
      </c>
      <c r="L69" s="37" t="s">
        <v>60</v>
      </c>
      <c r="M69" s="37">
        <v>2021</v>
      </c>
      <c r="N69" s="37">
        <v>0</v>
      </c>
      <c r="O69" s="37">
        <v>208.4</v>
      </c>
      <c r="P69" s="37"/>
    </row>
    <row r="70" spans="1:16" ht="11.25" customHeight="1" x14ac:dyDescent="0.25">
      <c r="A70" s="37">
        <v>69</v>
      </c>
      <c r="B70" s="37" t="s">
        <v>263</v>
      </c>
      <c r="C70" s="37" t="s">
        <v>34</v>
      </c>
      <c r="D70" s="37" t="s">
        <v>23</v>
      </c>
      <c r="E70" s="37" t="s">
        <v>35</v>
      </c>
      <c r="F70" s="37" t="s">
        <v>81</v>
      </c>
      <c r="G70" s="37" t="s">
        <v>25</v>
      </c>
      <c r="H70" s="37" t="s">
        <v>25</v>
      </c>
      <c r="I70" s="37" t="s">
        <v>25</v>
      </c>
      <c r="J70" s="37" t="s">
        <v>410</v>
      </c>
      <c r="K70" s="37" t="s">
        <v>411</v>
      </c>
      <c r="L70" s="37" t="s">
        <v>60</v>
      </c>
      <c r="M70" s="37">
        <v>2021</v>
      </c>
      <c r="N70" s="37">
        <v>0</v>
      </c>
      <c r="O70" s="37">
        <v>230.91</v>
      </c>
      <c r="P70" s="37">
        <v>30.047940479553599</v>
      </c>
    </row>
    <row r="71" spans="1:16" ht="11.25" customHeight="1" x14ac:dyDescent="0.25">
      <c r="A71" s="37">
        <v>70</v>
      </c>
      <c r="B71" s="37" t="s">
        <v>291</v>
      </c>
      <c r="C71" s="37" t="s">
        <v>22</v>
      </c>
      <c r="D71" s="37" t="s">
        <v>77</v>
      </c>
      <c r="E71" s="37" t="s">
        <v>24</v>
      </c>
      <c r="F71" s="37" t="s">
        <v>40</v>
      </c>
      <c r="G71" s="37" t="s">
        <v>25</v>
      </c>
      <c r="H71" s="37" t="s">
        <v>25</v>
      </c>
      <c r="I71" s="37" t="s">
        <v>25</v>
      </c>
      <c r="J71" s="37" t="s">
        <v>410</v>
      </c>
      <c r="K71" s="37" t="s">
        <v>411</v>
      </c>
      <c r="L71" s="37" t="s">
        <v>60</v>
      </c>
      <c r="M71" s="37">
        <v>2021</v>
      </c>
      <c r="N71" s="37">
        <v>0</v>
      </c>
      <c r="O71" s="37">
        <v>248.09</v>
      </c>
      <c r="P71" s="37"/>
    </row>
    <row r="72" spans="1:16" ht="11.25" customHeight="1" x14ac:dyDescent="0.25">
      <c r="A72" s="37">
        <v>71</v>
      </c>
      <c r="B72" s="37" t="s">
        <v>291</v>
      </c>
      <c r="C72" s="37" t="s">
        <v>34</v>
      </c>
      <c r="D72" s="37" t="s">
        <v>75</v>
      </c>
      <c r="E72" s="37" t="s">
        <v>35</v>
      </c>
      <c r="F72" s="37" t="s">
        <v>81</v>
      </c>
      <c r="G72" s="37" t="s">
        <v>25</v>
      </c>
      <c r="H72" s="37" t="s">
        <v>25</v>
      </c>
      <c r="I72" s="37" t="s">
        <v>25</v>
      </c>
      <c r="J72" s="37" t="s">
        <v>410</v>
      </c>
      <c r="K72" s="37" t="s">
        <v>411</v>
      </c>
      <c r="L72" s="37" t="s">
        <v>60</v>
      </c>
      <c r="M72" s="37">
        <v>2021</v>
      </c>
      <c r="N72" s="37">
        <v>0</v>
      </c>
      <c r="O72" s="37">
        <v>148.85</v>
      </c>
      <c r="P72" s="37"/>
    </row>
    <row r="73" spans="1:16" ht="11.25" customHeight="1" x14ac:dyDescent="0.25">
      <c r="A73" s="37">
        <v>72</v>
      </c>
      <c r="B73" s="37" t="s">
        <v>291</v>
      </c>
      <c r="C73" s="37" t="s">
        <v>31</v>
      </c>
      <c r="D73" s="37" t="s">
        <v>77</v>
      </c>
      <c r="E73" s="37" t="s">
        <v>32</v>
      </c>
      <c r="F73" s="37" t="s">
        <v>79</v>
      </c>
      <c r="G73" s="37" t="s">
        <v>25</v>
      </c>
      <c r="H73" s="37" t="s">
        <v>25</v>
      </c>
      <c r="I73" s="37" t="s">
        <v>25</v>
      </c>
      <c r="J73" s="37" t="s">
        <v>410</v>
      </c>
      <c r="K73" s="37" t="s">
        <v>411</v>
      </c>
      <c r="L73" s="37" t="s">
        <v>60</v>
      </c>
      <c r="M73" s="37">
        <v>2021</v>
      </c>
      <c r="N73" s="37">
        <v>0</v>
      </c>
      <c r="O73" s="37">
        <v>218.32</v>
      </c>
      <c r="P73" s="37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AED3-4193-4F74-A572-29D7DDF670C6}">
  <sheetPr codeName="Planilha29"/>
  <dimension ref="B1:AT49"/>
  <sheetViews>
    <sheetView showGridLines="0" workbookViewId="0">
      <selection activeCell="B4" sqref="B4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25" bestFit="1" customWidth="1"/>
    <col min="30" max="30" width="14.42578125" bestFit="1" customWidth="1"/>
    <col min="31" max="31" width="11.140625" bestFit="1" customWidth="1"/>
    <col min="32" max="32" width="17.7109375" bestFit="1" customWidth="1"/>
    <col min="33" max="33" width="12.5703125" bestFit="1" customWidth="1"/>
    <col min="34" max="34" width="10.7109375" bestFit="1" customWidth="1"/>
    <col min="35" max="35" width="16.5703125" bestFit="1" customWidth="1"/>
    <col min="36" max="36" width="14.5703125" bestFit="1" customWidth="1"/>
    <col min="37" max="37" width="9.85546875" bestFit="1" customWidth="1"/>
    <col min="38" max="38" width="12.5703125" bestFit="1" customWidth="1"/>
    <col min="39" max="39" width="12.28515625" bestFit="1" customWidth="1"/>
    <col min="40" max="40" width="14.140625" bestFit="1" customWidth="1"/>
    <col min="41" max="41" width="25.28515625" bestFit="1" customWidth="1"/>
    <col min="42" max="42" width="17.85546875" bestFit="1" customWidth="1"/>
    <col min="43" max="43" width="13.42578125" bestFit="1" customWidth="1"/>
    <col min="44" max="44" width="13.28515625" bestFit="1" customWidth="1"/>
    <col min="45" max="45" width="22.140625" bestFit="1" customWidth="1"/>
    <col min="46" max="46" width="12.5703125" bestFit="1" customWidth="1"/>
  </cols>
  <sheetData>
    <row r="1" spans="2:46" ht="12" customHeight="1" x14ac:dyDescent="0.25">
      <c r="L1" s="122" t="s">
        <v>943</v>
      </c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  <c r="AI1" s="122" t="s">
        <v>944</v>
      </c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</row>
    <row r="2" spans="2:46" ht="12" customHeight="1" x14ac:dyDescent="0.25">
      <c r="L2" s="124" t="s">
        <v>264</v>
      </c>
      <c r="M2" s="124"/>
      <c r="N2" s="124"/>
      <c r="O2" s="124"/>
      <c r="P2" s="124"/>
      <c r="Q2" s="124"/>
      <c r="R2" s="124"/>
      <c r="S2" s="125"/>
      <c r="T2" s="124" t="s">
        <v>273</v>
      </c>
      <c r="U2" s="124"/>
      <c r="V2" s="124"/>
      <c r="W2" s="124"/>
      <c r="X2" s="124"/>
      <c r="Y2" s="124"/>
      <c r="Z2" s="125"/>
      <c r="AA2" s="87" t="s">
        <v>281</v>
      </c>
      <c r="AB2" s="124" t="s">
        <v>25</v>
      </c>
      <c r="AC2" s="124"/>
      <c r="AD2" s="125"/>
      <c r="AE2" s="124" t="s">
        <v>942</v>
      </c>
      <c r="AF2" s="124"/>
      <c r="AG2" s="124"/>
      <c r="AH2" s="125"/>
      <c r="AI2" s="124" t="s">
        <v>264</v>
      </c>
      <c r="AJ2" s="124"/>
      <c r="AK2" s="124"/>
      <c r="AL2" s="124"/>
      <c r="AM2" s="125"/>
      <c r="AN2" s="87" t="s">
        <v>295</v>
      </c>
      <c r="AO2" s="124" t="s">
        <v>273</v>
      </c>
      <c r="AP2" s="124"/>
      <c r="AQ2" s="124"/>
      <c r="AR2" s="124"/>
      <c r="AS2" s="125"/>
      <c r="AT2" s="86" t="s">
        <v>942</v>
      </c>
    </row>
    <row r="3" spans="2:46" ht="12" customHeight="1" x14ac:dyDescent="0.25">
      <c r="B3" s="77" t="s">
        <v>49</v>
      </c>
      <c r="C3" s="78" t="s">
        <v>50</v>
      </c>
      <c r="D3" s="78" t="s">
        <v>51</v>
      </c>
      <c r="E3" s="78" t="s">
        <v>52</v>
      </c>
      <c r="F3" s="78" t="s">
        <v>53</v>
      </c>
      <c r="G3" s="78" t="s">
        <v>55</v>
      </c>
      <c r="H3" s="78" t="s">
        <v>56</v>
      </c>
      <c r="I3" s="78" t="s">
        <v>545</v>
      </c>
      <c r="J3" s="78" t="s">
        <v>904</v>
      </c>
      <c r="K3" s="78" t="s">
        <v>905</v>
      </c>
      <c r="L3" s="78" t="s">
        <v>906</v>
      </c>
      <c r="M3" s="78" t="s">
        <v>907</v>
      </c>
      <c r="N3" s="78" t="s">
        <v>908</v>
      </c>
      <c r="O3" s="78" t="s">
        <v>909</v>
      </c>
      <c r="P3" s="78" t="s">
        <v>910</v>
      </c>
      <c r="Q3" s="78" t="s">
        <v>911</v>
      </c>
      <c r="R3" s="78" t="s">
        <v>912</v>
      </c>
      <c r="S3" s="78" t="s">
        <v>913</v>
      </c>
      <c r="T3" s="78" t="s">
        <v>914</v>
      </c>
      <c r="U3" s="78" t="s">
        <v>915</v>
      </c>
      <c r="V3" s="78" t="s">
        <v>916</v>
      </c>
      <c r="W3" s="78" t="s">
        <v>917</v>
      </c>
      <c r="X3" s="78" t="s">
        <v>918</v>
      </c>
      <c r="Y3" s="78" t="s">
        <v>919</v>
      </c>
      <c r="Z3" s="78" t="s">
        <v>920</v>
      </c>
      <c r="AA3" s="78" t="s">
        <v>921</v>
      </c>
      <c r="AB3" s="78" t="s">
        <v>922</v>
      </c>
      <c r="AC3" s="78" t="s">
        <v>923</v>
      </c>
      <c r="AD3" s="78" t="s">
        <v>924</v>
      </c>
      <c r="AE3" s="78" t="s">
        <v>925</v>
      </c>
      <c r="AF3" s="78" t="s">
        <v>926</v>
      </c>
      <c r="AG3" s="78" t="s">
        <v>927</v>
      </c>
      <c r="AH3" s="78" t="s">
        <v>928</v>
      </c>
      <c r="AI3" s="78" t="s">
        <v>929</v>
      </c>
      <c r="AJ3" s="78" t="s">
        <v>930</v>
      </c>
      <c r="AK3" s="78" t="s">
        <v>931</v>
      </c>
      <c r="AL3" s="78" t="s">
        <v>932</v>
      </c>
      <c r="AM3" s="78" t="s">
        <v>933</v>
      </c>
      <c r="AN3" s="78" t="s">
        <v>934</v>
      </c>
      <c r="AO3" s="78" t="s">
        <v>935</v>
      </c>
      <c r="AP3" s="78" t="s">
        <v>936</v>
      </c>
      <c r="AQ3" s="78" t="s">
        <v>937</v>
      </c>
      <c r="AR3" s="78" t="s">
        <v>938</v>
      </c>
      <c r="AS3" s="78" t="s">
        <v>939</v>
      </c>
      <c r="AT3" s="79" t="s">
        <v>940</v>
      </c>
    </row>
    <row r="4" spans="2:46" ht="12" customHeight="1" x14ac:dyDescent="0.25">
      <c r="B4" s="80" t="s">
        <v>58</v>
      </c>
      <c r="C4" s="81" t="s">
        <v>63</v>
      </c>
      <c r="D4" s="81" t="s">
        <v>25</v>
      </c>
      <c r="E4" s="81" t="s">
        <v>25</v>
      </c>
      <c r="F4" s="81" t="s">
        <v>68</v>
      </c>
      <c r="G4" s="81" t="s">
        <v>412</v>
      </c>
      <c r="H4" s="81" t="s">
        <v>60</v>
      </c>
      <c r="I4" s="81" t="s">
        <v>25</v>
      </c>
      <c r="J4" s="81">
        <v>0</v>
      </c>
      <c r="K4" s="81">
        <v>0</v>
      </c>
      <c r="L4" s="81">
        <v>0</v>
      </c>
      <c r="M4" s="81">
        <v>0</v>
      </c>
      <c r="N4" s="81">
        <v>0</v>
      </c>
      <c r="O4" s="81">
        <v>0</v>
      </c>
      <c r="P4" s="81">
        <v>0</v>
      </c>
      <c r="Q4" s="81">
        <v>0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81">
        <v>0</v>
      </c>
      <c r="AF4" s="81">
        <v>0</v>
      </c>
      <c r="AG4" s="81">
        <v>0</v>
      </c>
      <c r="AH4" s="81">
        <v>0</v>
      </c>
      <c r="AI4" s="81">
        <v>0</v>
      </c>
      <c r="AJ4" s="81">
        <v>0</v>
      </c>
      <c r="AK4" s="81">
        <v>0</v>
      </c>
      <c r="AL4" s="81">
        <v>0</v>
      </c>
      <c r="AM4" s="81">
        <v>0</v>
      </c>
      <c r="AN4" s="81">
        <v>0</v>
      </c>
      <c r="AO4" s="81">
        <v>0</v>
      </c>
      <c r="AP4" s="81">
        <v>0</v>
      </c>
      <c r="AQ4" s="81">
        <v>0</v>
      </c>
      <c r="AR4" s="81">
        <v>0</v>
      </c>
      <c r="AS4" s="81">
        <v>0</v>
      </c>
      <c r="AT4" s="82">
        <v>0</v>
      </c>
    </row>
    <row r="5" spans="2:46" ht="12" customHeight="1" x14ac:dyDescent="0.25">
      <c r="B5" s="80" t="s">
        <v>58</v>
      </c>
      <c r="C5" s="81" t="s">
        <v>63</v>
      </c>
      <c r="D5" s="81" t="s">
        <v>25</v>
      </c>
      <c r="E5" s="81" t="s">
        <v>25</v>
      </c>
      <c r="F5" s="81" t="s">
        <v>68</v>
      </c>
      <c r="G5" s="81" t="s">
        <v>412</v>
      </c>
      <c r="H5" s="81" t="s">
        <v>64</v>
      </c>
      <c r="I5" s="81" t="s">
        <v>25</v>
      </c>
      <c r="J5" s="81">
        <v>0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81">
        <v>0</v>
      </c>
      <c r="AA5" s="81">
        <v>0</v>
      </c>
      <c r="AB5" s="81">
        <v>0</v>
      </c>
      <c r="AC5" s="81">
        <v>0</v>
      </c>
      <c r="AD5" s="81">
        <v>0</v>
      </c>
      <c r="AE5" s="81">
        <v>0</v>
      </c>
      <c r="AF5" s="81">
        <v>0</v>
      </c>
      <c r="AG5" s="81">
        <v>0</v>
      </c>
      <c r="AH5" s="81">
        <v>0</v>
      </c>
      <c r="AI5" s="81">
        <v>0</v>
      </c>
      <c r="AJ5" s="81">
        <v>0</v>
      </c>
      <c r="AK5" s="81">
        <v>0</v>
      </c>
      <c r="AL5" s="81">
        <v>0</v>
      </c>
      <c r="AM5" s="81">
        <v>0</v>
      </c>
      <c r="AN5" s="81">
        <v>0</v>
      </c>
      <c r="AO5" s="81">
        <v>0</v>
      </c>
      <c r="AP5" s="81">
        <v>0</v>
      </c>
      <c r="AQ5" s="81">
        <v>0</v>
      </c>
      <c r="AR5" s="81">
        <v>0</v>
      </c>
      <c r="AS5" s="81">
        <v>0</v>
      </c>
      <c r="AT5" s="82">
        <v>0</v>
      </c>
    </row>
    <row r="6" spans="2:46" ht="12" customHeight="1" x14ac:dyDescent="0.25">
      <c r="B6" s="80" t="s">
        <v>58</v>
      </c>
      <c r="C6" s="81" t="s">
        <v>63</v>
      </c>
      <c r="D6" s="81" t="s">
        <v>25</v>
      </c>
      <c r="E6" s="81" t="s">
        <v>25</v>
      </c>
      <c r="F6" s="81" t="s">
        <v>68</v>
      </c>
      <c r="G6" s="81" t="s">
        <v>414</v>
      </c>
      <c r="H6" s="81" t="s">
        <v>60</v>
      </c>
      <c r="I6" s="81" t="s">
        <v>25</v>
      </c>
      <c r="J6" s="81">
        <v>0</v>
      </c>
      <c r="K6" s="81">
        <v>0</v>
      </c>
      <c r="L6" s="81">
        <v>0</v>
      </c>
      <c r="M6" s="81">
        <v>0</v>
      </c>
      <c r="N6" s="81">
        <v>0</v>
      </c>
      <c r="O6" s="81">
        <v>0</v>
      </c>
      <c r="P6" s="81">
        <v>0</v>
      </c>
      <c r="Q6" s="81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  <c r="AB6" s="81">
        <v>0</v>
      </c>
      <c r="AC6" s="81">
        <v>0</v>
      </c>
      <c r="AD6" s="81">
        <v>0</v>
      </c>
      <c r="AE6" s="81">
        <v>0</v>
      </c>
      <c r="AF6" s="81">
        <v>0</v>
      </c>
      <c r="AG6" s="81">
        <v>0</v>
      </c>
      <c r="AH6" s="81">
        <v>0</v>
      </c>
      <c r="AI6" s="81">
        <v>0</v>
      </c>
      <c r="AJ6" s="81">
        <v>0</v>
      </c>
      <c r="AK6" s="81">
        <v>0</v>
      </c>
      <c r="AL6" s="81">
        <v>0</v>
      </c>
      <c r="AM6" s="81">
        <v>0</v>
      </c>
      <c r="AN6" s="81">
        <v>0</v>
      </c>
      <c r="AO6" s="81">
        <v>0</v>
      </c>
      <c r="AP6" s="81">
        <v>0</v>
      </c>
      <c r="AQ6" s="81">
        <v>0</v>
      </c>
      <c r="AR6" s="81">
        <v>0</v>
      </c>
      <c r="AS6" s="81">
        <v>0</v>
      </c>
      <c r="AT6" s="82">
        <v>0</v>
      </c>
    </row>
    <row r="7" spans="2:46" ht="12" customHeight="1" x14ac:dyDescent="0.25">
      <c r="B7" s="80" t="s">
        <v>58</v>
      </c>
      <c r="C7" s="81" t="s">
        <v>63</v>
      </c>
      <c r="D7" s="81" t="s">
        <v>25</v>
      </c>
      <c r="E7" s="81" t="s">
        <v>25</v>
      </c>
      <c r="F7" s="81" t="s">
        <v>68</v>
      </c>
      <c r="G7" s="81" t="s">
        <v>414</v>
      </c>
      <c r="H7" s="81" t="s">
        <v>64</v>
      </c>
      <c r="I7" s="81" t="s">
        <v>25</v>
      </c>
      <c r="J7" s="81">
        <v>0</v>
      </c>
      <c r="K7" s="81">
        <v>0</v>
      </c>
      <c r="L7" s="81">
        <v>0</v>
      </c>
      <c r="M7" s="81">
        <v>0</v>
      </c>
      <c r="N7" s="81">
        <v>0</v>
      </c>
      <c r="O7" s="81">
        <v>0</v>
      </c>
      <c r="P7" s="81">
        <v>0</v>
      </c>
      <c r="Q7" s="81">
        <v>0</v>
      </c>
      <c r="R7" s="81">
        <v>0</v>
      </c>
      <c r="S7" s="81">
        <v>0</v>
      </c>
      <c r="T7" s="81">
        <v>0</v>
      </c>
      <c r="U7" s="81">
        <v>0</v>
      </c>
      <c r="V7" s="81">
        <v>0</v>
      </c>
      <c r="W7" s="81">
        <v>0</v>
      </c>
      <c r="X7" s="81">
        <v>0</v>
      </c>
      <c r="Y7" s="81">
        <v>0</v>
      </c>
      <c r="Z7" s="81">
        <v>0</v>
      </c>
      <c r="AA7" s="81">
        <v>0</v>
      </c>
      <c r="AB7" s="81">
        <v>0</v>
      </c>
      <c r="AC7" s="81">
        <v>0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1">
        <v>0</v>
      </c>
      <c r="AJ7" s="81">
        <v>0</v>
      </c>
      <c r="AK7" s="81">
        <v>0</v>
      </c>
      <c r="AL7" s="81">
        <v>0</v>
      </c>
      <c r="AM7" s="81">
        <v>0</v>
      </c>
      <c r="AN7" s="81">
        <v>0</v>
      </c>
      <c r="AO7" s="81">
        <v>0</v>
      </c>
      <c r="AP7" s="81">
        <v>0</v>
      </c>
      <c r="AQ7" s="81">
        <v>0</v>
      </c>
      <c r="AR7" s="81">
        <v>0</v>
      </c>
      <c r="AS7" s="81">
        <v>0</v>
      </c>
      <c r="AT7" s="82">
        <v>0</v>
      </c>
    </row>
    <row r="8" spans="2:46" ht="12" customHeight="1" x14ac:dyDescent="0.25">
      <c r="B8" s="80" t="s">
        <v>58</v>
      </c>
      <c r="C8" s="81" t="s">
        <v>63</v>
      </c>
      <c r="D8" s="81" t="s">
        <v>25</v>
      </c>
      <c r="E8" s="81" t="s">
        <v>25</v>
      </c>
      <c r="F8" s="81" t="s">
        <v>25</v>
      </c>
      <c r="G8" s="81" t="s">
        <v>412</v>
      </c>
      <c r="H8" s="81" t="s">
        <v>60</v>
      </c>
      <c r="I8" s="81" t="s">
        <v>25</v>
      </c>
      <c r="J8" s="81">
        <v>0</v>
      </c>
      <c r="K8" s="81">
        <v>0</v>
      </c>
      <c r="L8" s="81">
        <v>0</v>
      </c>
      <c r="M8" s="81">
        <v>0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81">
        <v>0</v>
      </c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0</v>
      </c>
      <c r="AF8" s="81">
        <v>0</v>
      </c>
      <c r="AG8" s="81">
        <v>0</v>
      </c>
      <c r="AH8" s="81">
        <v>0</v>
      </c>
      <c r="AI8" s="81">
        <v>0</v>
      </c>
      <c r="AJ8" s="81">
        <v>0</v>
      </c>
      <c r="AK8" s="81">
        <v>0</v>
      </c>
      <c r="AL8" s="81">
        <v>0</v>
      </c>
      <c r="AM8" s="81">
        <v>0</v>
      </c>
      <c r="AN8" s="81">
        <v>0</v>
      </c>
      <c r="AO8" s="81">
        <v>0</v>
      </c>
      <c r="AP8" s="81">
        <v>0</v>
      </c>
      <c r="AQ8" s="81">
        <v>0</v>
      </c>
      <c r="AR8" s="81">
        <v>0</v>
      </c>
      <c r="AS8" s="81">
        <v>0</v>
      </c>
      <c r="AT8" s="82">
        <v>0</v>
      </c>
    </row>
    <row r="9" spans="2:46" ht="12" customHeight="1" x14ac:dyDescent="0.25">
      <c r="B9" s="80" t="s">
        <v>58</v>
      </c>
      <c r="C9" s="81" t="s">
        <v>63</v>
      </c>
      <c r="D9" s="81" t="s">
        <v>25</v>
      </c>
      <c r="E9" s="81" t="s">
        <v>25</v>
      </c>
      <c r="F9" s="81" t="s">
        <v>25</v>
      </c>
      <c r="G9" s="81" t="s">
        <v>412</v>
      </c>
      <c r="H9" s="81" t="s">
        <v>64</v>
      </c>
      <c r="I9" s="81" t="s">
        <v>25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1">
        <v>0</v>
      </c>
      <c r="Y9" s="81">
        <v>0</v>
      </c>
      <c r="Z9" s="81">
        <v>0</v>
      </c>
      <c r="AA9" s="81">
        <v>0</v>
      </c>
      <c r="AB9" s="81">
        <v>0</v>
      </c>
      <c r="AC9" s="81">
        <v>0</v>
      </c>
      <c r="AD9" s="81">
        <v>0</v>
      </c>
      <c r="AE9" s="81">
        <v>0</v>
      </c>
      <c r="AF9" s="81">
        <v>0</v>
      </c>
      <c r="AG9" s="81">
        <v>0</v>
      </c>
      <c r="AH9" s="81">
        <v>0</v>
      </c>
      <c r="AI9" s="81">
        <v>0</v>
      </c>
      <c r="AJ9" s="81">
        <v>0</v>
      </c>
      <c r="AK9" s="81">
        <v>0</v>
      </c>
      <c r="AL9" s="81">
        <v>0</v>
      </c>
      <c r="AM9" s="81">
        <v>0</v>
      </c>
      <c r="AN9" s="81">
        <v>0</v>
      </c>
      <c r="AO9" s="81">
        <v>0</v>
      </c>
      <c r="AP9" s="81">
        <v>0</v>
      </c>
      <c r="AQ9" s="81">
        <v>0</v>
      </c>
      <c r="AR9" s="81">
        <v>0</v>
      </c>
      <c r="AS9" s="81">
        <v>0</v>
      </c>
      <c r="AT9" s="82">
        <v>0</v>
      </c>
    </row>
    <row r="10" spans="2:46" ht="12" customHeight="1" x14ac:dyDescent="0.25">
      <c r="B10" s="80" t="s">
        <v>58</v>
      </c>
      <c r="C10" s="81" t="s">
        <v>63</v>
      </c>
      <c r="D10" s="81" t="s">
        <v>25</v>
      </c>
      <c r="E10" s="81" t="s">
        <v>25</v>
      </c>
      <c r="F10" s="81" t="s">
        <v>25</v>
      </c>
      <c r="G10" s="81" t="s">
        <v>414</v>
      </c>
      <c r="H10" s="81" t="s">
        <v>60</v>
      </c>
      <c r="I10" s="81" t="s">
        <v>25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  <c r="AB10" s="81">
        <v>0</v>
      </c>
      <c r="AC10" s="81">
        <v>0</v>
      </c>
      <c r="AD10" s="81">
        <v>0</v>
      </c>
      <c r="AE10" s="81">
        <v>0</v>
      </c>
      <c r="AF10" s="81">
        <v>0</v>
      </c>
      <c r="AG10" s="81">
        <v>0</v>
      </c>
      <c r="AH10" s="81">
        <v>0</v>
      </c>
      <c r="AI10" s="81">
        <v>0</v>
      </c>
      <c r="AJ10" s="81">
        <v>0</v>
      </c>
      <c r="AK10" s="81">
        <v>0</v>
      </c>
      <c r="AL10" s="81">
        <v>0</v>
      </c>
      <c r="AM10" s="81">
        <v>0</v>
      </c>
      <c r="AN10" s="81">
        <v>0</v>
      </c>
      <c r="AO10" s="81">
        <v>0</v>
      </c>
      <c r="AP10" s="81">
        <v>0</v>
      </c>
      <c r="AQ10" s="81">
        <v>0</v>
      </c>
      <c r="AR10" s="81">
        <v>0</v>
      </c>
      <c r="AS10" s="81">
        <v>0</v>
      </c>
      <c r="AT10" s="82">
        <v>0</v>
      </c>
    </row>
    <row r="11" spans="2:46" ht="12" customHeight="1" x14ac:dyDescent="0.25">
      <c r="B11" s="80" t="s">
        <v>58</v>
      </c>
      <c r="C11" s="81" t="s">
        <v>63</v>
      </c>
      <c r="D11" s="81" t="s">
        <v>25</v>
      </c>
      <c r="E11" s="81" t="s">
        <v>25</v>
      </c>
      <c r="F11" s="81" t="s">
        <v>25</v>
      </c>
      <c r="G11" s="81" t="s">
        <v>414</v>
      </c>
      <c r="H11" s="81" t="s">
        <v>64</v>
      </c>
      <c r="I11" s="81" t="s">
        <v>25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0</v>
      </c>
      <c r="Q11" s="81">
        <v>0</v>
      </c>
      <c r="R11" s="81">
        <v>0</v>
      </c>
      <c r="S11" s="81">
        <v>0</v>
      </c>
      <c r="T11" s="81">
        <v>0</v>
      </c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>
        <v>0</v>
      </c>
      <c r="AI11" s="81">
        <v>0</v>
      </c>
      <c r="AJ11" s="81">
        <v>0</v>
      </c>
      <c r="AK11" s="81">
        <v>0</v>
      </c>
      <c r="AL11" s="81">
        <v>0</v>
      </c>
      <c r="AM11" s="81">
        <v>0</v>
      </c>
      <c r="AN11" s="81">
        <v>0</v>
      </c>
      <c r="AO11" s="81">
        <v>0</v>
      </c>
      <c r="AP11" s="81">
        <v>0</v>
      </c>
      <c r="AQ11" s="81">
        <v>0</v>
      </c>
      <c r="AR11" s="81">
        <v>0</v>
      </c>
      <c r="AS11" s="81">
        <v>0</v>
      </c>
      <c r="AT11" s="82">
        <v>0</v>
      </c>
    </row>
    <row r="12" spans="2:46" ht="12" customHeight="1" x14ac:dyDescent="0.25">
      <c r="B12" s="80" t="s">
        <v>58</v>
      </c>
      <c r="C12" s="81" t="s">
        <v>69</v>
      </c>
      <c r="D12" s="81" t="s">
        <v>25</v>
      </c>
      <c r="E12" s="81" t="s">
        <v>25</v>
      </c>
      <c r="F12" s="81" t="s">
        <v>25</v>
      </c>
      <c r="G12" s="81" t="s">
        <v>25</v>
      </c>
      <c r="H12" s="81" t="s">
        <v>64</v>
      </c>
      <c r="I12" s="81" t="s">
        <v>25</v>
      </c>
      <c r="J12" s="81">
        <v>0</v>
      </c>
      <c r="K12" s="81">
        <v>0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81">
        <v>0</v>
      </c>
      <c r="AA12" s="81">
        <v>0</v>
      </c>
      <c r="AB12" s="81">
        <v>0</v>
      </c>
      <c r="AC12" s="81">
        <v>0</v>
      </c>
      <c r="AD12" s="81">
        <v>0</v>
      </c>
      <c r="AE12" s="81">
        <v>0</v>
      </c>
      <c r="AF12" s="81">
        <v>0</v>
      </c>
      <c r="AG12" s="81">
        <v>0</v>
      </c>
      <c r="AH12" s="81">
        <v>0</v>
      </c>
      <c r="AI12" s="81">
        <v>0</v>
      </c>
      <c r="AJ12" s="81">
        <v>0</v>
      </c>
      <c r="AK12" s="81">
        <v>0</v>
      </c>
      <c r="AL12" s="81">
        <v>0</v>
      </c>
      <c r="AM12" s="81">
        <v>0</v>
      </c>
      <c r="AN12" s="81">
        <v>0</v>
      </c>
      <c r="AO12" s="81">
        <v>0</v>
      </c>
      <c r="AP12" s="81">
        <v>0</v>
      </c>
      <c r="AQ12" s="81">
        <v>0</v>
      </c>
      <c r="AR12" s="81">
        <v>0</v>
      </c>
      <c r="AS12" s="81">
        <v>0</v>
      </c>
      <c r="AT12" s="82">
        <v>0</v>
      </c>
    </row>
    <row r="13" spans="2:46" ht="12" customHeight="1" x14ac:dyDescent="0.25">
      <c r="B13" s="80" t="s">
        <v>58</v>
      </c>
      <c r="C13" s="81" t="s">
        <v>70</v>
      </c>
      <c r="D13" s="81" t="s">
        <v>25</v>
      </c>
      <c r="E13" s="81" t="s">
        <v>25</v>
      </c>
      <c r="F13" s="81" t="s">
        <v>68</v>
      </c>
      <c r="G13" s="81" t="s">
        <v>412</v>
      </c>
      <c r="H13" s="81" t="s">
        <v>60</v>
      </c>
      <c r="I13" s="81" t="s">
        <v>25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81">
        <v>0</v>
      </c>
      <c r="AA13" s="81">
        <v>0</v>
      </c>
      <c r="AB13" s="81">
        <v>0</v>
      </c>
      <c r="AC13" s="81">
        <v>0</v>
      </c>
      <c r="AD13" s="81">
        <v>0</v>
      </c>
      <c r="AE13" s="81">
        <v>0</v>
      </c>
      <c r="AF13" s="81">
        <v>0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1">
        <v>0</v>
      </c>
      <c r="AM13" s="81">
        <v>0</v>
      </c>
      <c r="AN13" s="81">
        <v>0</v>
      </c>
      <c r="AO13" s="81">
        <v>0</v>
      </c>
      <c r="AP13" s="81">
        <v>0</v>
      </c>
      <c r="AQ13" s="81">
        <v>0</v>
      </c>
      <c r="AR13" s="81">
        <v>0</v>
      </c>
      <c r="AS13" s="81">
        <v>0</v>
      </c>
      <c r="AT13" s="82">
        <v>0</v>
      </c>
    </row>
    <row r="14" spans="2:46" ht="12" customHeight="1" x14ac:dyDescent="0.25">
      <c r="B14" s="80" t="s">
        <v>58</v>
      </c>
      <c r="C14" s="81" t="s">
        <v>70</v>
      </c>
      <c r="D14" s="81" t="s">
        <v>25</v>
      </c>
      <c r="E14" s="81" t="s">
        <v>25</v>
      </c>
      <c r="F14" s="81" t="s">
        <v>68</v>
      </c>
      <c r="G14" s="81" t="s">
        <v>25</v>
      </c>
      <c r="H14" s="81" t="s">
        <v>64</v>
      </c>
      <c r="I14" s="81" t="s">
        <v>25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  <c r="AA14" s="81">
        <v>0</v>
      </c>
      <c r="AB14" s="81">
        <v>0</v>
      </c>
      <c r="AC14" s="81">
        <v>0</v>
      </c>
      <c r="AD14" s="81">
        <v>0</v>
      </c>
      <c r="AE14" s="81">
        <v>0</v>
      </c>
      <c r="AF14" s="81">
        <v>0</v>
      </c>
      <c r="AG14" s="81">
        <v>0</v>
      </c>
      <c r="AH14" s="81">
        <v>0</v>
      </c>
      <c r="AI14" s="81">
        <v>0</v>
      </c>
      <c r="AJ14" s="81">
        <v>0</v>
      </c>
      <c r="AK14" s="81">
        <v>0</v>
      </c>
      <c r="AL14" s="81">
        <v>0</v>
      </c>
      <c r="AM14" s="81">
        <v>0</v>
      </c>
      <c r="AN14" s="81">
        <v>0</v>
      </c>
      <c r="AO14" s="81">
        <v>0</v>
      </c>
      <c r="AP14" s="81">
        <v>0</v>
      </c>
      <c r="AQ14" s="81">
        <v>0</v>
      </c>
      <c r="AR14" s="81">
        <v>0</v>
      </c>
      <c r="AS14" s="81">
        <v>0</v>
      </c>
      <c r="AT14" s="82">
        <v>0</v>
      </c>
    </row>
    <row r="15" spans="2:46" ht="12" customHeight="1" x14ac:dyDescent="0.25">
      <c r="B15" s="80" t="s">
        <v>58</v>
      </c>
      <c r="C15" s="81" t="s">
        <v>70</v>
      </c>
      <c r="D15" s="81" t="s">
        <v>25</v>
      </c>
      <c r="E15" s="81" t="s">
        <v>25</v>
      </c>
      <c r="F15" s="81" t="s">
        <v>68</v>
      </c>
      <c r="G15" s="81" t="s">
        <v>414</v>
      </c>
      <c r="H15" s="81" t="s">
        <v>60</v>
      </c>
      <c r="I15" s="81" t="s">
        <v>25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1">
        <v>0</v>
      </c>
      <c r="AJ15" s="81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  <c r="AR15" s="81">
        <v>0</v>
      </c>
      <c r="AS15" s="81">
        <v>0</v>
      </c>
      <c r="AT15" s="82">
        <v>0</v>
      </c>
    </row>
    <row r="16" spans="2:46" ht="12" customHeight="1" x14ac:dyDescent="0.25">
      <c r="B16" s="80" t="s">
        <v>58</v>
      </c>
      <c r="C16" s="81" t="s">
        <v>70</v>
      </c>
      <c r="D16" s="81" t="s">
        <v>25</v>
      </c>
      <c r="E16" s="81" t="s">
        <v>25</v>
      </c>
      <c r="F16" s="81" t="s">
        <v>25</v>
      </c>
      <c r="G16" s="81" t="s">
        <v>412</v>
      </c>
      <c r="H16" s="81" t="s">
        <v>60</v>
      </c>
      <c r="I16" s="81" t="s">
        <v>25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  <c r="X16" s="81">
        <v>0</v>
      </c>
      <c r="Y16" s="81">
        <v>0</v>
      </c>
      <c r="Z16" s="81">
        <v>0</v>
      </c>
      <c r="AA16" s="81">
        <v>0</v>
      </c>
      <c r="AB16" s="81">
        <v>0</v>
      </c>
      <c r="AC16" s="81">
        <v>0</v>
      </c>
      <c r="AD16" s="81">
        <v>0</v>
      </c>
      <c r="AE16" s="81">
        <v>0</v>
      </c>
      <c r="AF16" s="81">
        <v>0</v>
      </c>
      <c r="AG16" s="81">
        <v>0</v>
      </c>
      <c r="AH16" s="81">
        <v>0</v>
      </c>
      <c r="AI16" s="81">
        <v>0</v>
      </c>
      <c r="AJ16" s="81">
        <v>0</v>
      </c>
      <c r="AK16" s="81">
        <v>0</v>
      </c>
      <c r="AL16" s="81">
        <v>0</v>
      </c>
      <c r="AM16" s="81">
        <v>0</v>
      </c>
      <c r="AN16" s="81">
        <v>0</v>
      </c>
      <c r="AO16" s="81">
        <v>0</v>
      </c>
      <c r="AP16" s="81">
        <v>0</v>
      </c>
      <c r="AQ16" s="81">
        <v>0</v>
      </c>
      <c r="AR16" s="81">
        <v>0</v>
      </c>
      <c r="AS16" s="81">
        <v>0</v>
      </c>
      <c r="AT16" s="82">
        <v>0</v>
      </c>
    </row>
    <row r="17" spans="2:46" ht="12" customHeight="1" x14ac:dyDescent="0.25">
      <c r="B17" s="80" t="s">
        <v>58</v>
      </c>
      <c r="C17" s="81" t="s">
        <v>70</v>
      </c>
      <c r="D17" s="81" t="s">
        <v>25</v>
      </c>
      <c r="E17" s="81" t="s">
        <v>25</v>
      </c>
      <c r="F17" s="81" t="s">
        <v>25</v>
      </c>
      <c r="G17" s="81" t="s">
        <v>25</v>
      </c>
      <c r="H17" s="81" t="s">
        <v>64</v>
      </c>
      <c r="I17" s="81" t="s">
        <v>25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81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  <c r="AR17" s="81">
        <v>0</v>
      </c>
      <c r="AS17" s="81">
        <v>0</v>
      </c>
      <c r="AT17" s="82">
        <v>0</v>
      </c>
    </row>
    <row r="18" spans="2:46" ht="12" customHeight="1" x14ac:dyDescent="0.25">
      <c r="B18" s="80" t="s">
        <v>58</v>
      </c>
      <c r="C18" s="81" t="s">
        <v>70</v>
      </c>
      <c r="D18" s="81" t="s">
        <v>25</v>
      </c>
      <c r="E18" s="81" t="s">
        <v>25</v>
      </c>
      <c r="F18" s="81" t="s">
        <v>25</v>
      </c>
      <c r="G18" s="81" t="s">
        <v>414</v>
      </c>
      <c r="H18" s="81" t="s">
        <v>60</v>
      </c>
      <c r="I18" s="81" t="s">
        <v>25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>
        <v>0</v>
      </c>
      <c r="AF18" s="81">
        <v>0</v>
      </c>
      <c r="AG18" s="81">
        <v>0</v>
      </c>
      <c r="AH18" s="81">
        <v>0</v>
      </c>
      <c r="AI18" s="81">
        <v>0</v>
      </c>
      <c r="AJ18" s="81">
        <v>0</v>
      </c>
      <c r="AK18" s="81">
        <v>0</v>
      </c>
      <c r="AL18" s="81">
        <v>0</v>
      </c>
      <c r="AM18" s="81">
        <v>0</v>
      </c>
      <c r="AN18" s="81">
        <v>0</v>
      </c>
      <c r="AO18" s="81">
        <v>0</v>
      </c>
      <c r="AP18" s="81">
        <v>0</v>
      </c>
      <c r="AQ18" s="81">
        <v>0</v>
      </c>
      <c r="AR18" s="81">
        <v>0</v>
      </c>
      <c r="AS18" s="81">
        <v>0</v>
      </c>
      <c r="AT18" s="82">
        <v>0</v>
      </c>
    </row>
    <row r="19" spans="2:46" ht="12" customHeight="1" x14ac:dyDescent="0.25">
      <c r="B19" s="80" t="s">
        <v>71</v>
      </c>
      <c r="C19" s="81" t="s">
        <v>69</v>
      </c>
      <c r="D19" s="81" t="s">
        <v>25</v>
      </c>
      <c r="E19" s="81" t="s">
        <v>25</v>
      </c>
      <c r="F19" s="81" t="s">
        <v>72</v>
      </c>
      <c r="G19" s="81" t="s">
        <v>25</v>
      </c>
      <c r="H19" s="81" t="s">
        <v>64</v>
      </c>
      <c r="I19" s="81" t="s">
        <v>25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81">
        <v>0</v>
      </c>
      <c r="AA19" s="81">
        <v>0</v>
      </c>
      <c r="AB19" s="81">
        <v>0</v>
      </c>
      <c r="AC19" s="81">
        <v>0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1">
        <v>0</v>
      </c>
      <c r="AJ19" s="81">
        <v>0</v>
      </c>
      <c r="AK19" s="81">
        <v>0</v>
      </c>
      <c r="AL19" s="81">
        <v>0</v>
      </c>
      <c r="AM19" s="81">
        <v>0</v>
      </c>
      <c r="AN19" s="81">
        <v>0</v>
      </c>
      <c r="AO19" s="81">
        <v>0</v>
      </c>
      <c r="AP19" s="81">
        <v>0</v>
      </c>
      <c r="AQ19" s="81">
        <v>0</v>
      </c>
      <c r="AR19" s="81">
        <v>0</v>
      </c>
      <c r="AS19" s="81">
        <v>0</v>
      </c>
      <c r="AT19" s="82">
        <v>0</v>
      </c>
    </row>
    <row r="20" spans="2:46" ht="12" customHeight="1" x14ac:dyDescent="0.25">
      <c r="B20" s="80" t="s">
        <v>71</v>
      </c>
      <c r="C20" s="81" t="s">
        <v>69</v>
      </c>
      <c r="D20" s="81" t="s">
        <v>25</v>
      </c>
      <c r="E20" s="81" t="s">
        <v>25</v>
      </c>
      <c r="F20" s="81" t="s">
        <v>73</v>
      </c>
      <c r="G20" s="81" t="s">
        <v>25</v>
      </c>
      <c r="H20" s="81" t="s">
        <v>64</v>
      </c>
      <c r="I20" s="81" t="s">
        <v>25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81">
        <v>0</v>
      </c>
      <c r="AA20" s="81">
        <v>0</v>
      </c>
      <c r="AB20" s="81">
        <v>0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0</v>
      </c>
      <c r="AO20" s="81">
        <v>0</v>
      </c>
      <c r="AP20" s="81">
        <v>0</v>
      </c>
      <c r="AQ20" s="81">
        <v>0</v>
      </c>
      <c r="AR20" s="81">
        <v>0</v>
      </c>
      <c r="AS20" s="81">
        <v>0</v>
      </c>
      <c r="AT20" s="82">
        <v>0</v>
      </c>
    </row>
    <row r="21" spans="2:46" ht="12" customHeight="1" x14ac:dyDescent="0.25">
      <c r="B21" s="80" t="s">
        <v>22</v>
      </c>
      <c r="C21" s="81" t="s">
        <v>76</v>
      </c>
      <c r="D21" s="81" t="s">
        <v>24</v>
      </c>
      <c r="E21" s="81" t="s">
        <v>24</v>
      </c>
      <c r="F21" s="81" t="s">
        <v>25</v>
      </c>
      <c r="G21" s="81" t="s">
        <v>412</v>
      </c>
      <c r="H21" s="81" t="s">
        <v>60</v>
      </c>
      <c r="I21" s="81" t="s">
        <v>25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  <c r="X21" s="81">
        <v>0</v>
      </c>
      <c r="Y21" s="81">
        <v>0</v>
      </c>
      <c r="Z21" s="81">
        <v>0</v>
      </c>
      <c r="AA21" s="81">
        <v>0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0</v>
      </c>
      <c r="AO21" s="81">
        <v>0</v>
      </c>
      <c r="AP21" s="81">
        <v>0</v>
      </c>
      <c r="AQ21" s="81">
        <v>0</v>
      </c>
      <c r="AR21" s="81">
        <v>0</v>
      </c>
      <c r="AS21" s="81">
        <v>0</v>
      </c>
      <c r="AT21" s="82">
        <v>0</v>
      </c>
    </row>
    <row r="22" spans="2:46" ht="12" customHeight="1" x14ac:dyDescent="0.25">
      <c r="B22" s="80" t="s">
        <v>22</v>
      </c>
      <c r="C22" s="81" t="s">
        <v>76</v>
      </c>
      <c r="D22" s="81" t="s">
        <v>24</v>
      </c>
      <c r="E22" s="81" t="s">
        <v>24</v>
      </c>
      <c r="F22" s="81" t="s">
        <v>25</v>
      </c>
      <c r="G22" s="81" t="s">
        <v>409</v>
      </c>
      <c r="H22" s="81" t="s">
        <v>60</v>
      </c>
      <c r="I22" s="81" t="s">
        <v>25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  <c r="X22" s="81">
        <v>0</v>
      </c>
      <c r="Y22" s="81">
        <v>0</v>
      </c>
      <c r="Z22" s="81">
        <v>0</v>
      </c>
      <c r="AA22" s="81">
        <v>0</v>
      </c>
      <c r="AB22" s="81">
        <v>0</v>
      </c>
      <c r="AC22" s="81">
        <v>0</v>
      </c>
      <c r="AD22" s="81">
        <v>0</v>
      </c>
      <c r="AE22" s="81">
        <v>0</v>
      </c>
      <c r="AF22" s="81">
        <v>0</v>
      </c>
      <c r="AG22" s="81">
        <v>0</v>
      </c>
      <c r="AH22" s="81">
        <v>0</v>
      </c>
      <c r="AI22" s="81">
        <v>0</v>
      </c>
      <c r="AJ22" s="81">
        <v>0</v>
      </c>
      <c r="AK22" s="81">
        <v>0</v>
      </c>
      <c r="AL22" s="81">
        <v>0</v>
      </c>
      <c r="AM22" s="81">
        <v>0</v>
      </c>
      <c r="AN22" s="81">
        <v>0</v>
      </c>
      <c r="AO22" s="81">
        <v>0</v>
      </c>
      <c r="AP22" s="81">
        <v>0</v>
      </c>
      <c r="AQ22" s="81">
        <v>0</v>
      </c>
      <c r="AR22" s="81">
        <v>0</v>
      </c>
      <c r="AS22" s="81">
        <v>0</v>
      </c>
      <c r="AT22" s="82">
        <v>0</v>
      </c>
    </row>
    <row r="23" spans="2:46" ht="12" customHeight="1" x14ac:dyDescent="0.25">
      <c r="B23" s="80" t="s">
        <v>22</v>
      </c>
      <c r="C23" s="81" t="s">
        <v>76</v>
      </c>
      <c r="D23" s="81" t="s">
        <v>24</v>
      </c>
      <c r="E23" s="81" t="s">
        <v>24</v>
      </c>
      <c r="F23" s="81" t="s">
        <v>25</v>
      </c>
      <c r="G23" s="81" t="s">
        <v>414</v>
      </c>
      <c r="H23" s="81" t="s">
        <v>60</v>
      </c>
      <c r="I23" s="81" t="s">
        <v>25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  <c r="X23" s="81">
        <v>0</v>
      </c>
      <c r="Y23" s="81">
        <v>0</v>
      </c>
      <c r="Z23" s="81">
        <v>0</v>
      </c>
      <c r="AA23" s="81">
        <v>0</v>
      </c>
      <c r="AB23" s="81">
        <v>0</v>
      </c>
      <c r="AC23" s="81">
        <v>0</v>
      </c>
      <c r="AD23" s="81">
        <v>0</v>
      </c>
      <c r="AE23" s="81">
        <v>0</v>
      </c>
      <c r="AF23" s="81">
        <v>0</v>
      </c>
      <c r="AG23" s="81">
        <v>0</v>
      </c>
      <c r="AH23" s="81">
        <v>0</v>
      </c>
      <c r="AI23" s="81">
        <v>0</v>
      </c>
      <c r="AJ23" s="81">
        <v>0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0</v>
      </c>
      <c r="AQ23" s="81">
        <v>0</v>
      </c>
      <c r="AR23" s="81">
        <v>0</v>
      </c>
      <c r="AS23" s="81">
        <v>0</v>
      </c>
      <c r="AT23" s="82">
        <v>0</v>
      </c>
    </row>
    <row r="24" spans="2:46" ht="12" customHeight="1" x14ac:dyDescent="0.25">
      <c r="B24" s="80" t="s">
        <v>22</v>
      </c>
      <c r="C24" s="81" t="s">
        <v>23</v>
      </c>
      <c r="D24" s="81" t="s">
        <v>24</v>
      </c>
      <c r="E24" s="81" t="s">
        <v>941</v>
      </c>
      <c r="F24" s="81" t="s">
        <v>25</v>
      </c>
      <c r="G24" s="81" t="s">
        <v>25</v>
      </c>
      <c r="H24" s="81" t="s">
        <v>60</v>
      </c>
      <c r="I24" s="81" t="s">
        <v>25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  <c r="X24" s="81">
        <v>0</v>
      </c>
      <c r="Y24" s="81">
        <v>0</v>
      </c>
      <c r="Z24" s="81">
        <v>0</v>
      </c>
      <c r="AA24" s="81">
        <v>0</v>
      </c>
      <c r="AB24" s="81">
        <v>0</v>
      </c>
      <c r="AC24" s="81">
        <v>0</v>
      </c>
      <c r="AD24" s="81">
        <v>0</v>
      </c>
      <c r="AE24" s="81">
        <v>0</v>
      </c>
      <c r="AF24" s="81">
        <v>0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  <c r="AN24" s="81">
        <v>0</v>
      </c>
      <c r="AO24" s="81">
        <v>0</v>
      </c>
      <c r="AP24" s="81">
        <v>0</v>
      </c>
      <c r="AQ24" s="81">
        <v>0</v>
      </c>
      <c r="AR24" s="81">
        <v>0</v>
      </c>
      <c r="AS24" s="81">
        <v>0</v>
      </c>
      <c r="AT24" s="82">
        <v>0</v>
      </c>
    </row>
    <row r="25" spans="2:46" ht="12" customHeight="1" x14ac:dyDescent="0.25">
      <c r="B25" s="80" t="s">
        <v>22</v>
      </c>
      <c r="C25" s="81" t="s">
        <v>23</v>
      </c>
      <c r="D25" s="81" t="s">
        <v>24</v>
      </c>
      <c r="E25" s="81" t="s">
        <v>24</v>
      </c>
      <c r="F25" s="81" t="s">
        <v>25</v>
      </c>
      <c r="G25" s="81" t="s">
        <v>25</v>
      </c>
      <c r="H25" s="81" t="s">
        <v>60</v>
      </c>
      <c r="I25" s="81" t="s">
        <v>25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  <c r="X25" s="81">
        <v>0</v>
      </c>
      <c r="Y25" s="81">
        <v>0</v>
      </c>
      <c r="Z25" s="81">
        <v>0</v>
      </c>
      <c r="AA25" s="81">
        <v>0</v>
      </c>
      <c r="AB25" s="81">
        <v>0</v>
      </c>
      <c r="AC25" s="81">
        <v>0</v>
      </c>
      <c r="AD25" s="81">
        <v>0</v>
      </c>
      <c r="AE25" s="81">
        <v>0</v>
      </c>
      <c r="AF25" s="81">
        <v>0</v>
      </c>
      <c r="AG25" s="81">
        <v>0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  <c r="AN25" s="81">
        <v>0</v>
      </c>
      <c r="AO25" s="81">
        <v>0</v>
      </c>
      <c r="AP25" s="81">
        <v>0</v>
      </c>
      <c r="AQ25" s="81">
        <v>0</v>
      </c>
      <c r="AR25" s="81">
        <v>0</v>
      </c>
      <c r="AS25" s="81">
        <v>0</v>
      </c>
      <c r="AT25" s="82">
        <v>0</v>
      </c>
    </row>
    <row r="26" spans="2:46" ht="12" customHeight="1" x14ac:dyDescent="0.25">
      <c r="B26" s="80" t="s">
        <v>22</v>
      </c>
      <c r="C26" s="81" t="s">
        <v>78</v>
      </c>
      <c r="D26" s="81" t="s">
        <v>24</v>
      </c>
      <c r="E26" s="81" t="s">
        <v>941</v>
      </c>
      <c r="F26" s="81" t="s">
        <v>25</v>
      </c>
      <c r="G26" s="81" t="s">
        <v>25</v>
      </c>
      <c r="H26" s="81" t="s">
        <v>60</v>
      </c>
      <c r="I26" s="81" t="s">
        <v>25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  <c r="X26" s="81">
        <v>0</v>
      </c>
      <c r="Y26" s="81">
        <v>0</v>
      </c>
      <c r="Z26" s="81">
        <v>0</v>
      </c>
      <c r="AA26" s="81">
        <v>0</v>
      </c>
      <c r="AB26" s="81">
        <v>0</v>
      </c>
      <c r="AC26" s="81">
        <v>0</v>
      </c>
      <c r="AD26" s="81">
        <v>0</v>
      </c>
      <c r="AE26" s="81">
        <v>0</v>
      </c>
      <c r="AF26" s="81">
        <v>0</v>
      </c>
      <c r="AG26" s="81">
        <v>0</v>
      </c>
      <c r="AH26" s="81">
        <v>0</v>
      </c>
      <c r="AI26" s="81">
        <v>0</v>
      </c>
      <c r="AJ26" s="81">
        <v>0</v>
      </c>
      <c r="AK26" s="81">
        <v>0</v>
      </c>
      <c r="AL26" s="81">
        <v>0</v>
      </c>
      <c r="AM26" s="81">
        <v>0</v>
      </c>
      <c r="AN26" s="81">
        <v>0</v>
      </c>
      <c r="AO26" s="81">
        <v>0</v>
      </c>
      <c r="AP26" s="81">
        <v>0</v>
      </c>
      <c r="AQ26" s="81">
        <v>0</v>
      </c>
      <c r="AR26" s="81">
        <v>0</v>
      </c>
      <c r="AS26" s="81">
        <v>0</v>
      </c>
      <c r="AT26" s="82">
        <v>0</v>
      </c>
    </row>
    <row r="27" spans="2:46" ht="12" customHeight="1" x14ac:dyDescent="0.25">
      <c r="B27" s="80" t="s">
        <v>22</v>
      </c>
      <c r="C27" s="81" t="s">
        <v>78</v>
      </c>
      <c r="D27" s="81" t="s">
        <v>24</v>
      </c>
      <c r="E27" s="81" t="s">
        <v>24</v>
      </c>
      <c r="F27" s="81" t="s">
        <v>25</v>
      </c>
      <c r="G27" s="81" t="s">
        <v>25</v>
      </c>
      <c r="H27" s="81" t="s">
        <v>60</v>
      </c>
      <c r="I27" s="81" t="s">
        <v>25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  <c r="X27" s="81">
        <v>0</v>
      </c>
      <c r="Y27" s="81">
        <v>0</v>
      </c>
      <c r="Z27" s="81">
        <v>0</v>
      </c>
      <c r="AA27" s="81">
        <v>0</v>
      </c>
      <c r="AB27" s="81">
        <v>0</v>
      </c>
      <c r="AC27" s="81">
        <v>0</v>
      </c>
      <c r="AD27" s="81">
        <v>0</v>
      </c>
      <c r="AE27" s="81">
        <v>0</v>
      </c>
      <c r="AF27" s="81">
        <v>0</v>
      </c>
      <c r="AG27" s="81">
        <v>0</v>
      </c>
      <c r="AH27" s="81">
        <v>0</v>
      </c>
      <c r="AI27" s="81">
        <v>0</v>
      </c>
      <c r="AJ27" s="81">
        <v>0</v>
      </c>
      <c r="AK27" s="81">
        <v>0</v>
      </c>
      <c r="AL27" s="81">
        <v>0</v>
      </c>
      <c r="AM27" s="81">
        <v>0</v>
      </c>
      <c r="AN27" s="81">
        <v>0</v>
      </c>
      <c r="AO27" s="81">
        <v>0</v>
      </c>
      <c r="AP27" s="81">
        <v>0</v>
      </c>
      <c r="AQ27" s="81">
        <v>0</v>
      </c>
      <c r="AR27" s="81">
        <v>0</v>
      </c>
      <c r="AS27" s="81">
        <v>0</v>
      </c>
      <c r="AT27" s="82">
        <v>0</v>
      </c>
    </row>
    <row r="28" spans="2:46" ht="12" customHeight="1" x14ac:dyDescent="0.25">
      <c r="B28" s="80" t="s">
        <v>31</v>
      </c>
      <c r="C28" s="81" t="s">
        <v>76</v>
      </c>
      <c r="D28" s="81" t="s">
        <v>32</v>
      </c>
      <c r="E28" s="81" t="s">
        <v>79</v>
      </c>
      <c r="F28" s="81" t="s">
        <v>25</v>
      </c>
      <c r="G28" s="81" t="s">
        <v>412</v>
      </c>
      <c r="H28" s="81" t="s">
        <v>60</v>
      </c>
      <c r="I28" s="81" t="s">
        <v>25</v>
      </c>
      <c r="J28" s="81">
        <v>0</v>
      </c>
      <c r="K28" s="81">
        <v>0</v>
      </c>
      <c r="L28" s="81">
        <v>0</v>
      </c>
      <c r="M28" s="81">
        <v>0</v>
      </c>
      <c r="N28" s="81">
        <v>0</v>
      </c>
      <c r="O28" s="81">
        <v>0</v>
      </c>
      <c r="P28" s="81">
        <v>0</v>
      </c>
      <c r="Q28" s="81">
        <v>0</v>
      </c>
      <c r="R28" s="81">
        <v>0</v>
      </c>
      <c r="S28" s="81">
        <v>0</v>
      </c>
      <c r="T28" s="81">
        <v>0</v>
      </c>
      <c r="U28" s="81">
        <v>0</v>
      </c>
      <c r="V28" s="81">
        <v>0</v>
      </c>
      <c r="W28" s="81">
        <v>0</v>
      </c>
      <c r="X28" s="81">
        <v>0</v>
      </c>
      <c r="Y28" s="81">
        <v>0</v>
      </c>
      <c r="Z28" s="81">
        <v>0</v>
      </c>
      <c r="AA28" s="81">
        <v>0</v>
      </c>
      <c r="AB28" s="81">
        <v>0</v>
      </c>
      <c r="AC28" s="81">
        <v>0</v>
      </c>
      <c r="AD28" s="81">
        <v>0</v>
      </c>
      <c r="AE28" s="81">
        <v>0</v>
      </c>
      <c r="AF28" s="81">
        <v>0</v>
      </c>
      <c r="AG28" s="81">
        <v>0</v>
      </c>
      <c r="AH28" s="81">
        <v>0</v>
      </c>
      <c r="AI28" s="81">
        <v>0</v>
      </c>
      <c r="AJ28" s="81">
        <v>0</v>
      </c>
      <c r="AK28" s="81">
        <v>0</v>
      </c>
      <c r="AL28" s="81">
        <v>0</v>
      </c>
      <c r="AM28" s="81">
        <v>0</v>
      </c>
      <c r="AN28" s="81">
        <v>0</v>
      </c>
      <c r="AO28" s="81">
        <v>0</v>
      </c>
      <c r="AP28" s="81">
        <v>0</v>
      </c>
      <c r="AQ28" s="81">
        <v>0</v>
      </c>
      <c r="AR28" s="81">
        <v>0</v>
      </c>
      <c r="AS28" s="81">
        <v>0</v>
      </c>
      <c r="AT28" s="82">
        <v>0</v>
      </c>
    </row>
    <row r="29" spans="2:46" ht="12" customHeight="1" x14ac:dyDescent="0.25">
      <c r="B29" s="80" t="s">
        <v>31</v>
      </c>
      <c r="C29" s="81" t="s">
        <v>76</v>
      </c>
      <c r="D29" s="81" t="s">
        <v>32</v>
      </c>
      <c r="E29" s="81" t="s">
        <v>79</v>
      </c>
      <c r="F29" s="81" t="s">
        <v>25</v>
      </c>
      <c r="G29" s="81" t="s">
        <v>409</v>
      </c>
      <c r="H29" s="81" t="s">
        <v>60</v>
      </c>
      <c r="I29" s="81" t="s">
        <v>25</v>
      </c>
      <c r="J29" s="81">
        <v>0</v>
      </c>
      <c r="K29" s="81">
        <v>0</v>
      </c>
      <c r="L29" s="81">
        <v>0</v>
      </c>
      <c r="M29" s="81">
        <v>0</v>
      </c>
      <c r="N29" s="81">
        <v>0</v>
      </c>
      <c r="O29" s="81">
        <v>0</v>
      </c>
      <c r="P29" s="81">
        <v>0</v>
      </c>
      <c r="Q29" s="81">
        <v>0</v>
      </c>
      <c r="R29" s="81">
        <v>0</v>
      </c>
      <c r="S29" s="81">
        <v>0</v>
      </c>
      <c r="T29" s="81">
        <v>0</v>
      </c>
      <c r="U29" s="81">
        <v>0</v>
      </c>
      <c r="V29" s="81">
        <v>0</v>
      </c>
      <c r="W29" s="81">
        <v>0</v>
      </c>
      <c r="X29" s="81">
        <v>0</v>
      </c>
      <c r="Y29" s="81">
        <v>0</v>
      </c>
      <c r="Z29" s="81">
        <v>0</v>
      </c>
      <c r="AA29" s="81">
        <v>0</v>
      </c>
      <c r="AB29" s="81">
        <v>0</v>
      </c>
      <c r="AC29" s="81">
        <v>0</v>
      </c>
      <c r="AD29" s="81">
        <v>0</v>
      </c>
      <c r="AE29" s="81">
        <v>0</v>
      </c>
      <c r="AF29" s="81">
        <v>0</v>
      </c>
      <c r="AG29" s="81">
        <v>0</v>
      </c>
      <c r="AH29" s="81">
        <v>0</v>
      </c>
      <c r="AI29" s="81">
        <v>0</v>
      </c>
      <c r="AJ29" s="81">
        <v>0</v>
      </c>
      <c r="AK29" s="81">
        <v>0</v>
      </c>
      <c r="AL29" s="81">
        <v>0</v>
      </c>
      <c r="AM29" s="81">
        <v>0</v>
      </c>
      <c r="AN29" s="81">
        <v>0</v>
      </c>
      <c r="AO29" s="81">
        <v>0</v>
      </c>
      <c r="AP29" s="81">
        <v>0</v>
      </c>
      <c r="AQ29" s="81">
        <v>0</v>
      </c>
      <c r="AR29" s="81">
        <v>0</v>
      </c>
      <c r="AS29" s="81">
        <v>0</v>
      </c>
      <c r="AT29" s="82">
        <v>0</v>
      </c>
    </row>
    <row r="30" spans="2:46" ht="12" customHeight="1" x14ac:dyDescent="0.25">
      <c r="B30" s="80" t="s">
        <v>31</v>
      </c>
      <c r="C30" s="81" t="s">
        <v>76</v>
      </c>
      <c r="D30" s="81" t="s">
        <v>32</v>
      </c>
      <c r="E30" s="81" t="s">
        <v>79</v>
      </c>
      <c r="F30" s="81" t="s">
        <v>25</v>
      </c>
      <c r="G30" s="81" t="s">
        <v>414</v>
      </c>
      <c r="H30" s="81" t="s">
        <v>60</v>
      </c>
      <c r="I30" s="81" t="s">
        <v>25</v>
      </c>
      <c r="J30" s="81">
        <v>0</v>
      </c>
      <c r="K30" s="81">
        <v>0</v>
      </c>
      <c r="L30" s="81">
        <v>0</v>
      </c>
      <c r="M30" s="81">
        <v>0</v>
      </c>
      <c r="N30" s="81">
        <v>0</v>
      </c>
      <c r="O30" s="81">
        <v>0</v>
      </c>
      <c r="P30" s="81">
        <v>0</v>
      </c>
      <c r="Q30" s="81">
        <v>0</v>
      </c>
      <c r="R30" s="81">
        <v>0</v>
      </c>
      <c r="S30" s="81">
        <v>0</v>
      </c>
      <c r="T30" s="81">
        <v>0</v>
      </c>
      <c r="U30" s="81">
        <v>0</v>
      </c>
      <c r="V30" s="81">
        <v>0</v>
      </c>
      <c r="W30" s="81">
        <v>0</v>
      </c>
      <c r="X30" s="81">
        <v>0</v>
      </c>
      <c r="Y30" s="81">
        <v>0</v>
      </c>
      <c r="Z30" s="81">
        <v>0</v>
      </c>
      <c r="AA30" s="81">
        <v>0</v>
      </c>
      <c r="AB30" s="81">
        <v>0</v>
      </c>
      <c r="AC30" s="81">
        <v>0</v>
      </c>
      <c r="AD30" s="81">
        <v>0</v>
      </c>
      <c r="AE30" s="81">
        <v>0</v>
      </c>
      <c r="AF30" s="81">
        <v>0</v>
      </c>
      <c r="AG30" s="81">
        <v>0</v>
      </c>
      <c r="AH30" s="81">
        <v>0</v>
      </c>
      <c r="AI30" s="81">
        <v>0</v>
      </c>
      <c r="AJ30" s="81">
        <v>0</v>
      </c>
      <c r="AK30" s="81">
        <v>0</v>
      </c>
      <c r="AL30" s="81">
        <v>0</v>
      </c>
      <c r="AM30" s="81">
        <v>0</v>
      </c>
      <c r="AN30" s="81">
        <v>0</v>
      </c>
      <c r="AO30" s="81">
        <v>0</v>
      </c>
      <c r="AP30" s="81">
        <v>0</v>
      </c>
      <c r="AQ30" s="81">
        <v>0</v>
      </c>
      <c r="AR30" s="81">
        <v>0</v>
      </c>
      <c r="AS30" s="81">
        <v>0</v>
      </c>
      <c r="AT30" s="82">
        <v>0</v>
      </c>
    </row>
    <row r="31" spans="2:46" ht="12" customHeight="1" x14ac:dyDescent="0.25">
      <c r="B31" s="80" t="s">
        <v>31</v>
      </c>
      <c r="C31" s="81" t="s">
        <v>76</v>
      </c>
      <c r="D31" s="81" t="s">
        <v>32</v>
      </c>
      <c r="E31" s="81" t="s">
        <v>25</v>
      </c>
      <c r="F31" s="81" t="s">
        <v>25</v>
      </c>
      <c r="G31" s="81" t="s">
        <v>412</v>
      </c>
      <c r="H31" s="81" t="s">
        <v>60</v>
      </c>
      <c r="I31" s="81" t="s">
        <v>25</v>
      </c>
      <c r="J31" s="81">
        <v>0</v>
      </c>
      <c r="K31" s="81">
        <v>0</v>
      </c>
      <c r="L31" s="81">
        <v>0</v>
      </c>
      <c r="M31" s="81">
        <v>0</v>
      </c>
      <c r="N31" s="81">
        <v>0</v>
      </c>
      <c r="O31" s="81">
        <v>0</v>
      </c>
      <c r="P31" s="81">
        <v>0</v>
      </c>
      <c r="Q31" s="81">
        <v>0</v>
      </c>
      <c r="R31" s="81">
        <v>0</v>
      </c>
      <c r="S31" s="81">
        <v>0</v>
      </c>
      <c r="T31" s="81">
        <v>0</v>
      </c>
      <c r="U31" s="81">
        <v>0</v>
      </c>
      <c r="V31" s="81">
        <v>0</v>
      </c>
      <c r="W31" s="81">
        <v>0</v>
      </c>
      <c r="X31" s="81">
        <v>0</v>
      </c>
      <c r="Y31" s="81">
        <v>0</v>
      </c>
      <c r="Z31" s="81">
        <v>0</v>
      </c>
      <c r="AA31" s="81">
        <v>0</v>
      </c>
      <c r="AB31" s="81">
        <v>0</v>
      </c>
      <c r="AC31" s="81">
        <v>0</v>
      </c>
      <c r="AD31" s="81">
        <v>0</v>
      </c>
      <c r="AE31" s="81">
        <v>0</v>
      </c>
      <c r="AF31" s="81">
        <v>0</v>
      </c>
      <c r="AG31" s="81">
        <v>0</v>
      </c>
      <c r="AH31" s="81">
        <v>0</v>
      </c>
      <c r="AI31" s="81">
        <v>0</v>
      </c>
      <c r="AJ31" s="81">
        <v>0</v>
      </c>
      <c r="AK31" s="81">
        <v>0</v>
      </c>
      <c r="AL31" s="81">
        <v>0</v>
      </c>
      <c r="AM31" s="81">
        <v>0</v>
      </c>
      <c r="AN31" s="81">
        <v>0</v>
      </c>
      <c r="AO31" s="81">
        <v>0</v>
      </c>
      <c r="AP31" s="81">
        <v>0</v>
      </c>
      <c r="AQ31" s="81">
        <v>0</v>
      </c>
      <c r="AR31" s="81">
        <v>0</v>
      </c>
      <c r="AS31" s="81">
        <v>0</v>
      </c>
      <c r="AT31" s="82">
        <v>0</v>
      </c>
    </row>
    <row r="32" spans="2:46" ht="12" customHeight="1" x14ac:dyDescent="0.25">
      <c r="B32" s="80" t="s">
        <v>31</v>
      </c>
      <c r="C32" s="81" t="s">
        <v>76</v>
      </c>
      <c r="D32" s="81" t="s">
        <v>32</v>
      </c>
      <c r="E32" s="81" t="s">
        <v>25</v>
      </c>
      <c r="F32" s="81" t="s">
        <v>25</v>
      </c>
      <c r="G32" s="81" t="s">
        <v>409</v>
      </c>
      <c r="H32" s="81" t="s">
        <v>60</v>
      </c>
      <c r="I32" s="81" t="s">
        <v>25</v>
      </c>
      <c r="J32" s="81">
        <v>0</v>
      </c>
      <c r="K32" s="81">
        <v>0</v>
      </c>
      <c r="L32" s="81">
        <v>0</v>
      </c>
      <c r="M32" s="81">
        <v>0</v>
      </c>
      <c r="N32" s="81">
        <v>0</v>
      </c>
      <c r="O32" s="81">
        <v>0</v>
      </c>
      <c r="P32" s="81">
        <v>0</v>
      </c>
      <c r="Q32" s="81">
        <v>0</v>
      </c>
      <c r="R32" s="81">
        <v>0</v>
      </c>
      <c r="S32" s="81">
        <v>0</v>
      </c>
      <c r="T32" s="81">
        <v>0</v>
      </c>
      <c r="U32" s="81">
        <v>0</v>
      </c>
      <c r="V32" s="81">
        <v>0</v>
      </c>
      <c r="W32" s="81">
        <v>0</v>
      </c>
      <c r="X32" s="81">
        <v>0</v>
      </c>
      <c r="Y32" s="81">
        <v>0</v>
      </c>
      <c r="Z32" s="81">
        <v>0</v>
      </c>
      <c r="AA32" s="81">
        <v>0</v>
      </c>
      <c r="AB32" s="81">
        <v>0</v>
      </c>
      <c r="AC32" s="81">
        <v>0</v>
      </c>
      <c r="AD32" s="81">
        <v>0</v>
      </c>
      <c r="AE32" s="81">
        <v>0</v>
      </c>
      <c r="AF32" s="81">
        <v>0</v>
      </c>
      <c r="AG32" s="81">
        <v>0</v>
      </c>
      <c r="AH32" s="81">
        <v>0</v>
      </c>
      <c r="AI32" s="81">
        <v>0</v>
      </c>
      <c r="AJ32" s="81">
        <v>0</v>
      </c>
      <c r="AK32" s="81">
        <v>0</v>
      </c>
      <c r="AL32" s="81">
        <v>0</v>
      </c>
      <c r="AM32" s="81">
        <v>0</v>
      </c>
      <c r="AN32" s="81">
        <v>0</v>
      </c>
      <c r="AO32" s="81">
        <v>0</v>
      </c>
      <c r="AP32" s="81">
        <v>0</v>
      </c>
      <c r="AQ32" s="81">
        <v>0</v>
      </c>
      <c r="AR32" s="81">
        <v>0</v>
      </c>
      <c r="AS32" s="81">
        <v>0</v>
      </c>
      <c r="AT32" s="82">
        <v>0</v>
      </c>
    </row>
    <row r="33" spans="2:46" ht="12" customHeight="1" x14ac:dyDescent="0.25">
      <c r="B33" s="80" t="s">
        <v>31</v>
      </c>
      <c r="C33" s="81" t="s">
        <v>76</v>
      </c>
      <c r="D33" s="81" t="s">
        <v>32</v>
      </c>
      <c r="E33" s="81" t="s">
        <v>25</v>
      </c>
      <c r="F33" s="81" t="s">
        <v>25</v>
      </c>
      <c r="G33" s="81" t="s">
        <v>414</v>
      </c>
      <c r="H33" s="81" t="s">
        <v>60</v>
      </c>
      <c r="I33" s="81" t="s">
        <v>25</v>
      </c>
      <c r="J33" s="81">
        <v>0</v>
      </c>
      <c r="K33" s="81">
        <v>0</v>
      </c>
      <c r="L33" s="81">
        <v>0</v>
      </c>
      <c r="M33" s="81">
        <v>0</v>
      </c>
      <c r="N33" s="81">
        <v>0</v>
      </c>
      <c r="O33" s="81">
        <v>0</v>
      </c>
      <c r="P33" s="81">
        <v>0</v>
      </c>
      <c r="Q33" s="81">
        <v>0</v>
      </c>
      <c r="R33" s="81">
        <v>0</v>
      </c>
      <c r="S33" s="81">
        <v>0</v>
      </c>
      <c r="T33" s="81">
        <v>0</v>
      </c>
      <c r="U33" s="81">
        <v>0</v>
      </c>
      <c r="V33" s="81">
        <v>0</v>
      </c>
      <c r="W33" s="81">
        <v>0</v>
      </c>
      <c r="X33" s="81">
        <v>0</v>
      </c>
      <c r="Y33" s="81">
        <v>0</v>
      </c>
      <c r="Z33" s="81">
        <v>0</v>
      </c>
      <c r="AA33" s="81">
        <v>0</v>
      </c>
      <c r="AB33" s="81">
        <v>0</v>
      </c>
      <c r="AC33" s="81">
        <v>0</v>
      </c>
      <c r="AD33" s="81">
        <v>0</v>
      </c>
      <c r="AE33" s="81">
        <v>0</v>
      </c>
      <c r="AF33" s="81">
        <v>0</v>
      </c>
      <c r="AG33" s="81">
        <v>0</v>
      </c>
      <c r="AH33" s="81">
        <v>0</v>
      </c>
      <c r="AI33" s="81">
        <v>0</v>
      </c>
      <c r="AJ33" s="81">
        <v>0</v>
      </c>
      <c r="AK33" s="81">
        <v>0</v>
      </c>
      <c r="AL33" s="81">
        <v>0</v>
      </c>
      <c r="AM33" s="81">
        <v>0</v>
      </c>
      <c r="AN33" s="81">
        <v>0</v>
      </c>
      <c r="AO33" s="81">
        <v>0</v>
      </c>
      <c r="AP33" s="81">
        <v>0</v>
      </c>
      <c r="AQ33" s="81">
        <v>0</v>
      </c>
      <c r="AR33" s="81">
        <v>0</v>
      </c>
      <c r="AS33" s="81">
        <v>0</v>
      </c>
      <c r="AT33" s="82">
        <v>0</v>
      </c>
    </row>
    <row r="34" spans="2:46" ht="12" customHeight="1" x14ac:dyDescent="0.25">
      <c r="B34" s="80" t="s">
        <v>31</v>
      </c>
      <c r="C34" s="81" t="s">
        <v>76</v>
      </c>
      <c r="D34" s="81" t="s">
        <v>32</v>
      </c>
      <c r="E34" s="81" t="s">
        <v>80</v>
      </c>
      <c r="F34" s="81" t="s">
        <v>25</v>
      </c>
      <c r="G34" s="81" t="s">
        <v>412</v>
      </c>
      <c r="H34" s="81" t="s">
        <v>60</v>
      </c>
      <c r="I34" s="81" t="s">
        <v>25</v>
      </c>
      <c r="J34" s="81">
        <v>0</v>
      </c>
      <c r="K34" s="81">
        <v>0</v>
      </c>
      <c r="L34" s="81">
        <v>0</v>
      </c>
      <c r="M34" s="81">
        <v>0</v>
      </c>
      <c r="N34" s="81">
        <v>0</v>
      </c>
      <c r="O34" s="81">
        <v>0</v>
      </c>
      <c r="P34" s="81">
        <v>0</v>
      </c>
      <c r="Q34" s="81">
        <v>0</v>
      </c>
      <c r="R34" s="81">
        <v>0</v>
      </c>
      <c r="S34" s="81">
        <v>0</v>
      </c>
      <c r="T34" s="81">
        <v>0</v>
      </c>
      <c r="U34" s="81">
        <v>0</v>
      </c>
      <c r="V34" s="81">
        <v>0</v>
      </c>
      <c r="W34" s="81">
        <v>0</v>
      </c>
      <c r="X34" s="81">
        <v>0</v>
      </c>
      <c r="Y34" s="81">
        <v>0</v>
      </c>
      <c r="Z34" s="81">
        <v>0</v>
      </c>
      <c r="AA34" s="81">
        <v>0</v>
      </c>
      <c r="AB34" s="81">
        <v>0</v>
      </c>
      <c r="AC34" s="81">
        <v>0</v>
      </c>
      <c r="AD34" s="81">
        <v>0</v>
      </c>
      <c r="AE34" s="81">
        <v>0</v>
      </c>
      <c r="AF34" s="81">
        <v>0</v>
      </c>
      <c r="AG34" s="81">
        <v>0</v>
      </c>
      <c r="AH34" s="81">
        <v>0</v>
      </c>
      <c r="AI34" s="81">
        <v>0</v>
      </c>
      <c r="AJ34" s="81">
        <v>0</v>
      </c>
      <c r="AK34" s="81">
        <v>0</v>
      </c>
      <c r="AL34" s="81">
        <v>0</v>
      </c>
      <c r="AM34" s="81">
        <v>0</v>
      </c>
      <c r="AN34" s="81">
        <v>0</v>
      </c>
      <c r="AO34" s="81">
        <v>0</v>
      </c>
      <c r="AP34" s="81">
        <v>0</v>
      </c>
      <c r="AQ34" s="81">
        <v>0</v>
      </c>
      <c r="AR34" s="81">
        <v>0</v>
      </c>
      <c r="AS34" s="81">
        <v>0</v>
      </c>
      <c r="AT34" s="82">
        <v>0</v>
      </c>
    </row>
    <row r="35" spans="2:46" ht="12" customHeight="1" x14ac:dyDescent="0.25">
      <c r="B35" s="80" t="s">
        <v>31</v>
      </c>
      <c r="C35" s="81" t="s">
        <v>76</v>
      </c>
      <c r="D35" s="81" t="s">
        <v>32</v>
      </c>
      <c r="E35" s="81" t="s">
        <v>80</v>
      </c>
      <c r="F35" s="81" t="s">
        <v>25</v>
      </c>
      <c r="G35" s="81" t="s">
        <v>409</v>
      </c>
      <c r="H35" s="81" t="s">
        <v>60</v>
      </c>
      <c r="I35" s="81" t="s">
        <v>25</v>
      </c>
      <c r="J35" s="81">
        <v>0</v>
      </c>
      <c r="K35" s="81">
        <v>0</v>
      </c>
      <c r="L35" s="81">
        <v>0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  <c r="Z35" s="81">
        <v>0</v>
      </c>
      <c r="AA35" s="81">
        <v>0</v>
      </c>
      <c r="AB35" s="81">
        <v>0</v>
      </c>
      <c r="AC35" s="81">
        <v>0</v>
      </c>
      <c r="AD35" s="81">
        <v>0</v>
      </c>
      <c r="AE35" s="81">
        <v>0</v>
      </c>
      <c r="AF35" s="81">
        <v>0</v>
      </c>
      <c r="AG35" s="81">
        <v>0</v>
      </c>
      <c r="AH35" s="81">
        <v>0</v>
      </c>
      <c r="AI35" s="81">
        <v>0</v>
      </c>
      <c r="AJ35" s="81">
        <v>0</v>
      </c>
      <c r="AK35" s="81">
        <v>0</v>
      </c>
      <c r="AL35" s="81">
        <v>0</v>
      </c>
      <c r="AM35" s="81">
        <v>0</v>
      </c>
      <c r="AN35" s="81">
        <v>0</v>
      </c>
      <c r="AO35" s="81">
        <v>0</v>
      </c>
      <c r="AP35" s="81">
        <v>0</v>
      </c>
      <c r="AQ35" s="81">
        <v>0</v>
      </c>
      <c r="AR35" s="81">
        <v>0</v>
      </c>
      <c r="AS35" s="81">
        <v>0</v>
      </c>
      <c r="AT35" s="82">
        <v>0</v>
      </c>
    </row>
    <row r="36" spans="2:46" ht="12" customHeight="1" x14ac:dyDescent="0.25">
      <c r="B36" s="80" t="s">
        <v>31</v>
      </c>
      <c r="C36" s="81" t="s">
        <v>76</v>
      </c>
      <c r="D36" s="81" t="s">
        <v>32</v>
      </c>
      <c r="E36" s="81" t="s">
        <v>80</v>
      </c>
      <c r="F36" s="81" t="s">
        <v>25</v>
      </c>
      <c r="G36" s="81" t="s">
        <v>414</v>
      </c>
      <c r="H36" s="81" t="s">
        <v>60</v>
      </c>
      <c r="I36" s="81" t="s">
        <v>25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1">
        <v>0</v>
      </c>
      <c r="AC36" s="81">
        <v>0</v>
      </c>
      <c r="AD36" s="81">
        <v>0</v>
      </c>
      <c r="AE36" s="81">
        <v>0</v>
      </c>
      <c r="AF36" s="81">
        <v>0</v>
      </c>
      <c r="AG36" s="81">
        <v>0</v>
      </c>
      <c r="AH36" s="81">
        <v>0</v>
      </c>
      <c r="AI36" s="81">
        <v>0</v>
      </c>
      <c r="AJ36" s="81">
        <v>0</v>
      </c>
      <c r="AK36" s="81">
        <v>0</v>
      </c>
      <c r="AL36" s="81">
        <v>0</v>
      </c>
      <c r="AM36" s="81">
        <v>0</v>
      </c>
      <c r="AN36" s="81">
        <v>0</v>
      </c>
      <c r="AO36" s="81">
        <v>0</v>
      </c>
      <c r="AP36" s="81">
        <v>0</v>
      </c>
      <c r="AQ36" s="81">
        <v>0</v>
      </c>
      <c r="AR36" s="81">
        <v>0</v>
      </c>
      <c r="AS36" s="81">
        <v>0</v>
      </c>
      <c r="AT36" s="82">
        <v>0</v>
      </c>
    </row>
    <row r="37" spans="2:46" ht="12" customHeight="1" x14ac:dyDescent="0.25">
      <c r="B37" s="80" t="s">
        <v>31</v>
      </c>
      <c r="C37" s="81" t="s">
        <v>23</v>
      </c>
      <c r="D37" s="81" t="s">
        <v>32</v>
      </c>
      <c r="E37" s="81" t="s">
        <v>79</v>
      </c>
      <c r="F37" s="81" t="s">
        <v>25</v>
      </c>
      <c r="G37" s="81" t="s">
        <v>25</v>
      </c>
      <c r="H37" s="81" t="s">
        <v>60</v>
      </c>
      <c r="I37" s="81" t="s">
        <v>25</v>
      </c>
      <c r="J37" s="81">
        <v>0</v>
      </c>
      <c r="K37" s="81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1">
        <v>0</v>
      </c>
      <c r="AC37" s="81">
        <v>0</v>
      </c>
      <c r="AD37" s="81">
        <v>0</v>
      </c>
      <c r="AE37" s="81">
        <v>0</v>
      </c>
      <c r="AF37" s="81">
        <v>0</v>
      </c>
      <c r="AG37" s="81">
        <v>0</v>
      </c>
      <c r="AH37" s="81">
        <v>0</v>
      </c>
      <c r="AI37" s="81">
        <v>0</v>
      </c>
      <c r="AJ37" s="81">
        <v>0</v>
      </c>
      <c r="AK37" s="81">
        <v>0</v>
      </c>
      <c r="AL37" s="81">
        <v>0</v>
      </c>
      <c r="AM37" s="81">
        <v>0</v>
      </c>
      <c r="AN37" s="81">
        <v>0</v>
      </c>
      <c r="AO37" s="81">
        <v>0</v>
      </c>
      <c r="AP37" s="81">
        <v>0</v>
      </c>
      <c r="AQ37" s="81">
        <v>0</v>
      </c>
      <c r="AR37" s="81">
        <v>0</v>
      </c>
      <c r="AS37" s="81">
        <v>0</v>
      </c>
      <c r="AT37" s="82">
        <v>0</v>
      </c>
    </row>
    <row r="38" spans="2:46" ht="12" customHeight="1" x14ac:dyDescent="0.25">
      <c r="B38" s="80" t="s">
        <v>31</v>
      </c>
      <c r="C38" s="81" t="s">
        <v>23</v>
      </c>
      <c r="D38" s="81" t="s">
        <v>32</v>
      </c>
      <c r="E38" s="81" t="s">
        <v>25</v>
      </c>
      <c r="F38" s="81" t="s">
        <v>25</v>
      </c>
      <c r="G38" s="81" t="s">
        <v>25</v>
      </c>
      <c r="H38" s="81" t="s">
        <v>60</v>
      </c>
      <c r="I38" s="81" t="s">
        <v>25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  <c r="P38" s="81">
        <v>0</v>
      </c>
      <c r="Q38" s="81">
        <v>0</v>
      </c>
      <c r="R38" s="81">
        <v>0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X38" s="81">
        <v>0</v>
      </c>
      <c r="Y38" s="81">
        <v>0</v>
      </c>
      <c r="Z38" s="81">
        <v>0</v>
      </c>
      <c r="AA38" s="81">
        <v>0</v>
      </c>
      <c r="AB38" s="81">
        <v>0</v>
      </c>
      <c r="AC38" s="81">
        <v>0</v>
      </c>
      <c r="AD38" s="81">
        <v>0</v>
      </c>
      <c r="AE38" s="81">
        <v>0</v>
      </c>
      <c r="AF38" s="81">
        <v>0</v>
      </c>
      <c r="AG38" s="81">
        <v>0</v>
      </c>
      <c r="AH38" s="81">
        <v>0</v>
      </c>
      <c r="AI38" s="81">
        <v>0</v>
      </c>
      <c r="AJ38" s="81">
        <v>0</v>
      </c>
      <c r="AK38" s="81">
        <v>0</v>
      </c>
      <c r="AL38" s="81">
        <v>0</v>
      </c>
      <c r="AM38" s="81">
        <v>0</v>
      </c>
      <c r="AN38" s="81">
        <v>0</v>
      </c>
      <c r="AO38" s="81">
        <v>0</v>
      </c>
      <c r="AP38" s="81">
        <v>0</v>
      </c>
      <c r="AQ38" s="81">
        <v>0</v>
      </c>
      <c r="AR38" s="81">
        <v>0</v>
      </c>
      <c r="AS38" s="81">
        <v>0</v>
      </c>
      <c r="AT38" s="82">
        <v>0</v>
      </c>
    </row>
    <row r="39" spans="2:46" ht="12" customHeight="1" x14ac:dyDescent="0.25">
      <c r="B39" s="80" t="s">
        <v>31</v>
      </c>
      <c r="C39" s="81" t="s">
        <v>23</v>
      </c>
      <c r="D39" s="81" t="s">
        <v>32</v>
      </c>
      <c r="E39" s="81" t="s">
        <v>80</v>
      </c>
      <c r="F39" s="81" t="s">
        <v>25</v>
      </c>
      <c r="G39" s="81" t="s">
        <v>25</v>
      </c>
      <c r="H39" s="81" t="s">
        <v>60</v>
      </c>
      <c r="I39" s="81" t="s">
        <v>25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  <c r="P39" s="81">
        <v>0</v>
      </c>
      <c r="Q39" s="81">
        <v>0</v>
      </c>
      <c r="R39" s="81">
        <v>0</v>
      </c>
      <c r="S39" s="81">
        <v>0</v>
      </c>
      <c r="T39" s="81">
        <v>0</v>
      </c>
      <c r="U39" s="81">
        <v>0</v>
      </c>
      <c r="V39" s="81">
        <v>0</v>
      </c>
      <c r="W39" s="81">
        <v>0</v>
      </c>
      <c r="X39" s="81">
        <v>0</v>
      </c>
      <c r="Y39" s="81">
        <v>0</v>
      </c>
      <c r="Z39" s="81">
        <v>0</v>
      </c>
      <c r="AA39" s="81">
        <v>0</v>
      </c>
      <c r="AB39" s="81">
        <v>0</v>
      </c>
      <c r="AC39" s="81">
        <v>0</v>
      </c>
      <c r="AD39" s="81">
        <v>0</v>
      </c>
      <c r="AE39" s="81">
        <v>0</v>
      </c>
      <c r="AF39" s="81">
        <v>0</v>
      </c>
      <c r="AG39" s="81">
        <v>0</v>
      </c>
      <c r="AH39" s="81">
        <v>0</v>
      </c>
      <c r="AI39" s="81">
        <v>0</v>
      </c>
      <c r="AJ39" s="81">
        <v>0</v>
      </c>
      <c r="AK39" s="81">
        <v>0</v>
      </c>
      <c r="AL39" s="81">
        <v>0</v>
      </c>
      <c r="AM39" s="81">
        <v>0</v>
      </c>
      <c r="AN39" s="81">
        <v>0</v>
      </c>
      <c r="AO39" s="81">
        <v>0</v>
      </c>
      <c r="AP39" s="81">
        <v>0</v>
      </c>
      <c r="AQ39" s="81">
        <v>0</v>
      </c>
      <c r="AR39" s="81">
        <v>0</v>
      </c>
      <c r="AS39" s="81">
        <v>0</v>
      </c>
      <c r="AT39" s="82">
        <v>0</v>
      </c>
    </row>
    <row r="40" spans="2:46" ht="12" customHeight="1" x14ac:dyDescent="0.25">
      <c r="B40" s="80" t="s">
        <v>31</v>
      </c>
      <c r="C40" s="81" t="s">
        <v>78</v>
      </c>
      <c r="D40" s="81" t="s">
        <v>32</v>
      </c>
      <c r="E40" s="81" t="s">
        <v>79</v>
      </c>
      <c r="F40" s="81" t="s">
        <v>25</v>
      </c>
      <c r="G40" s="81" t="s">
        <v>25</v>
      </c>
      <c r="H40" s="81" t="s">
        <v>60</v>
      </c>
      <c r="I40" s="81" t="s">
        <v>25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</v>
      </c>
      <c r="U40" s="81">
        <v>0</v>
      </c>
      <c r="V40" s="81">
        <v>0</v>
      </c>
      <c r="W40" s="81">
        <v>0</v>
      </c>
      <c r="X40" s="81">
        <v>0</v>
      </c>
      <c r="Y40" s="81">
        <v>0</v>
      </c>
      <c r="Z40" s="81">
        <v>0</v>
      </c>
      <c r="AA40" s="81">
        <v>0</v>
      </c>
      <c r="AB40" s="81">
        <v>0</v>
      </c>
      <c r="AC40" s="81">
        <v>0</v>
      </c>
      <c r="AD40" s="81">
        <v>0</v>
      </c>
      <c r="AE40" s="81">
        <v>0</v>
      </c>
      <c r="AF40" s="81">
        <v>0</v>
      </c>
      <c r="AG40" s="81">
        <v>0</v>
      </c>
      <c r="AH40" s="81">
        <v>0</v>
      </c>
      <c r="AI40" s="81">
        <v>0</v>
      </c>
      <c r="AJ40" s="81">
        <v>0</v>
      </c>
      <c r="AK40" s="81">
        <v>0</v>
      </c>
      <c r="AL40" s="81">
        <v>0</v>
      </c>
      <c r="AM40" s="81">
        <v>0</v>
      </c>
      <c r="AN40" s="81">
        <v>0</v>
      </c>
      <c r="AO40" s="81">
        <v>0</v>
      </c>
      <c r="AP40" s="81">
        <v>0</v>
      </c>
      <c r="AQ40" s="81">
        <v>0</v>
      </c>
      <c r="AR40" s="81">
        <v>0</v>
      </c>
      <c r="AS40" s="81">
        <v>0</v>
      </c>
      <c r="AT40" s="82">
        <v>0</v>
      </c>
    </row>
    <row r="41" spans="2:46" ht="12" customHeight="1" x14ac:dyDescent="0.25">
      <c r="B41" s="80" t="s">
        <v>31</v>
      </c>
      <c r="C41" s="81" t="s">
        <v>78</v>
      </c>
      <c r="D41" s="81" t="s">
        <v>32</v>
      </c>
      <c r="E41" s="81" t="s">
        <v>25</v>
      </c>
      <c r="F41" s="81" t="s">
        <v>25</v>
      </c>
      <c r="G41" s="81" t="s">
        <v>25</v>
      </c>
      <c r="H41" s="81" t="s">
        <v>60</v>
      </c>
      <c r="I41" s="81" t="s">
        <v>25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X41" s="81">
        <v>0</v>
      </c>
      <c r="Y41" s="81">
        <v>0</v>
      </c>
      <c r="Z41" s="81">
        <v>0</v>
      </c>
      <c r="AA41" s="81">
        <v>0</v>
      </c>
      <c r="AB41" s="81">
        <v>0</v>
      </c>
      <c r="AC41" s="81">
        <v>0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1">
        <v>0</v>
      </c>
      <c r="AJ41" s="81">
        <v>0</v>
      </c>
      <c r="AK41" s="81">
        <v>0</v>
      </c>
      <c r="AL41" s="81">
        <v>0</v>
      </c>
      <c r="AM41" s="81">
        <v>0</v>
      </c>
      <c r="AN41" s="81">
        <v>0</v>
      </c>
      <c r="AO41" s="81">
        <v>0</v>
      </c>
      <c r="AP41" s="81">
        <v>0</v>
      </c>
      <c r="AQ41" s="81">
        <v>0</v>
      </c>
      <c r="AR41" s="81">
        <v>0</v>
      </c>
      <c r="AS41" s="81">
        <v>0</v>
      </c>
      <c r="AT41" s="82">
        <v>0</v>
      </c>
    </row>
    <row r="42" spans="2:46" ht="12" customHeight="1" x14ac:dyDescent="0.25">
      <c r="B42" s="80" t="s">
        <v>31</v>
      </c>
      <c r="C42" s="81" t="s">
        <v>78</v>
      </c>
      <c r="D42" s="81" t="s">
        <v>32</v>
      </c>
      <c r="E42" s="81" t="s">
        <v>80</v>
      </c>
      <c r="F42" s="81" t="s">
        <v>25</v>
      </c>
      <c r="G42" s="81" t="s">
        <v>25</v>
      </c>
      <c r="H42" s="81" t="s">
        <v>60</v>
      </c>
      <c r="I42" s="81" t="s">
        <v>25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X42" s="81">
        <v>0</v>
      </c>
      <c r="Y42" s="81">
        <v>0</v>
      </c>
      <c r="Z42" s="81">
        <v>0</v>
      </c>
      <c r="AA42" s="81">
        <v>0</v>
      </c>
      <c r="AB42" s="81">
        <v>0</v>
      </c>
      <c r="AC42" s="81">
        <v>0</v>
      </c>
      <c r="AD42" s="81">
        <v>0</v>
      </c>
      <c r="AE42" s="81">
        <v>0</v>
      </c>
      <c r="AF42" s="81">
        <v>0</v>
      </c>
      <c r="AG42" s="81">
        <v>0</v>
      </c>
      <c r="AH42" s="81">
        <v>0</v>
      </c>
      <c r="AI42" s="81">
        <v>0</v>
      </c>
      <c r="AJ42" s="81">
        <v>0</v>
      </c>
      <c r="AK42" s="81">
        <v>0</v>
      </c>
      <c r="AL42" s="81">
        <v>0</v>
      </c>
      <c r="AM42" s="81">
        <v>0</v>
      </c>
      <c r="AN42" s="81">
        <v>0</v>
      </c>
      <c r="AO42" s="81">
        <v>0</v>
      </c>
      <c r="AP42" s="81">
        <v>0</v>
      </c>
      <c r="AQ42" s="81">
        <v>0</v>
      </c>
      <c r="AR42" s="81">
        <v>0</v>
      </c>
      <c r="AS42" s="81">
        <v>0</v>
      </c>
      <c r="AT42" s="82">
        <v>0</v>
      </c>
    </row>
    <row r="43" spans="2:46" ht="12" customHeight="1" x14ac:dyDescent="0.25">
      <c r="B43" s="80" t="s">
        <v>28</v>
      </c>
      <c r="C43" s="81" t="s">
        <v>76</v>
      </c>
      <c r="D43" s="81" t="s">
        <v>25</v>
      </c>
      <c r="E43" s="81" t="s">
        <v>25</v>
      </c>
      <c r="F43" s="81" t="s">
        <v>25</v>
      </c>
      <c r="G43" s="81" t="s">
        <v>412</v>
      </c>
      <c r="H43" s="81" t="s">
        <v>60</v>
      </c>
      <c r="I43" s="81" t="s">
        <v>25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X43" s="81">
        <v>0</v>
      </c>
      <c r="Y43" s="81">
        <v>0</v>
      </c>
      <c r="Z43" s="81">
        <v>0</v>
      </c>
      <c r="AA43" s="81">
        <v>0</v>
      </c>
      <c r="AB43" s="81">
        <v>0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1">
        <v>0</v>
      </c>
      <c r="AJ43" s="81">
        <v>0</v>
      </c>
      <c r="AK43" s="81">
        <v>0</v>
      </c>
      <c r="AL43" s="81">
        <v>0</v>
      </c>
      <c r="AM43" s="81">
        <v>0</v>
      </c>
      <c r="AN43" s="81">
        <v>0</v>
      </c>
      <c r="AO43" s="81">
        <v>0</v>
      </c>
      <c r="AP43" s="81">
        <v>0</v>
      </c>
      <c r="AQ43" s="81">
        <v>0</v>
      </c>
      <c r="AR43" s="81">
        <v>0</v>
      </c>
      <c r="AS43" s="81">
        <v>0</v>
      </c>
      <c r="AT43" s="82">
        <v>0</v>
      </c>
    </row>
    <row r="44" spans="2:46" ht="12" customHeight="1" x14ac:dyDescent="0.25">
      <c r="B44" s="80" t="s">
        <v>28</v>
      </c>
      <c r="C44" s="81" t="s">
        <v>76</v>
      </c>
      <c r="D44" s="81" t="s">
        <v>25</v>
      </c>
      <c r="E44" s="81" t="s">
        <v>25</v>
      </c>
      <c r="F44" s="81" t="s">
        <v>25</v>
      </c>
      <c r="G44" s="81" t="s">
        <v>409</v>
      </c>
      <c r="H44" s="81" t="s">
        <v>60</v>
      </c>
      <c r="I44" s="81" t="s">
        <v>25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  <c r="O44" s="81">
        <v>0</v>
      </c>
      <c r="P44" s="81">
        <v>0</v>
      </c>
      <c r="Q44" s="81">
        <v>0</v>
      </c>
      <c r="R44" s="81">
        <v>0</v>
      </c>
      <c r="S44" s="81">
        <v>0</v>
      </c>
      <c r="T44" s="81">
        <v>0</v>
      </c>
      <c r="U44" s="81">
        <v>0</v>
      </c>
      <c r="V44" s="81">
        <v>0</v>
      </c>
      <c r="W44" s="81">
        <v>0</v>
      </c>
      <c r="X44" s="81">
        <v>0</v>
      </c>
      <c r="Y44" s="81">
        <v>0</v>
      </c>
      <c r="Z44" s="81">
        <v>0</v>
      </c>
      <c r="AA44" s="81">
        <v>0</v>
      </c>
      <c r="AB44" s="81">
        <v>0</v>
      </c>
      <c r="AC44" s="81">
        <v>0</v>
      </c>
      <c r="AD44" s="81">
        <v>0</v>
      </c>
      <c r="AE44" s="81">
        <v>0</v>
      </c>
      <c r="AF44" s="81">
        <v>0</v>
      </c>
      <c r="AG44" s="81">
        <v>0</v>
      </c>
      <c r="AH44" s="81">
        <v>0</v>
      </c>
      <c r="AI44" s="81">
        <v>0</v>
      </c>
      <c r="AJ44" s="81">
        <v>0</v>
      </c>
      <c r="AK44" s="81">
        <v>0</v>
      </c>
      <c r="AL44" s="81">
        <v>0</v>
      </c>
      <c r="AM44" s="81">
        <v>0</v>
      </c>
      <c r="AN44" s="81">
        <v>0</v>
      </c>
      <c r="AO44" s="81">
        <v>0</v>
      </c>
      <c r="AP44" s="81">
        <v>0</v>
      </c>
      <c r="AQ44" s="81">
        <v>0</v>
      </c>
      <c r="AR44" s="81">
        <v>0</v>
      </c>
      <c r="AS44" s="81">
        <v>0</v>
      </c>
      <c r="AT44" s="82">
        <v>0</v>
      </c>
    </row>
    <row r="45" spans="2:46" ht="12" customHeight="1" x14ac:dyDescent="0.25">
      <c r="B45" s="80" t="s">
        <v>28</v>
      </c>
      <c r="C45" s="81" t="s">
        <v>76</v>
      </c>
      <c r="D45" s="81" t="s">
        <v>25</v>
      </c>
      <c r="E45" s="81" t="s">
        <v>25</v>
      </c>
      <c r="F45" s="81" t="s">
        <v>25</v>
      </c>
      <c r="G45" s="81" t="s">
        <v>414</v>
      </c>
      <c r="H45" s="81" t="s">
        <v>60</v>
      </c>
      <c r="I45" s="81" t="s">
        <v>25</v>
      </c>
      <c r="J45" s="81">
        <v>0</v>
      </c>
      <c r="K45" s="81">
        <v>0</v>
      </c>
      <c r="L45" s="81">
        <v>0</v>
      </c>
      <c r="M45" s="81">
        <v>0</v>
      </c>
      <c r="N45" s="81">
        <v>0</v>
      </c>
      <c r="O45" s="81">
        <v>0</v>
      </c>
      <c r="P45" s="81">
        <v>0</v>
      </c>
      <c r="Q45" s="81">
        <v>0</v>
      </c>
      <c r="R45" s="81">
        <v>0</v>
      </c>
      <c r="S45" s="81">
        <v>0</v>
      </c>
      <c r="T45" s="81">
        <v>0</v>
      </c>
      <c r="U45" s="81">
        <v>0</v>
      </c>
      <c r="V45" s="81">
        <v>0</v>
      </c>
      <c r="W45" s="81">
        <v>0</v>
      </c>
      <c r="X45" s="81">
        <v>0</v>
      </c>
      <c r="Y45" s="81">
        <v>0</v>
      </c>
      <c r="Z45" s="81">
        <v>0</v>
      </c>
      <c r="AA45" s="81">
        <v>0</v>
      </c>
      <c r="AB45" s="81">
        <v>0</v>
      </c>
      <c r="AC45" s="81">
        <v>0</v>
      </c>
      <c r="AD45" s="81">
        <v>0</v>
      </c>
      <c r="AE45" s="81">
        <v>0</v>
      </c>
      <c r="AF45" s="81">
        <v>0</v>
      </c>
      <c r="AG45" s="81">
        <v>0</v>
      </c>
      <c r="AH45" s="81">
        <v>0</v>
      </c>
      <c r="AI45" s="81">
        <v>0</v>
      </c>
      <c r="AJ45" s="81">
        <v>0</v>
      </c>
      <c r="AK45" s="81">
        <v>0</v>
      </c>
      <c r="AL45" s="81">
        <v>0</v>
      </c>
      <c r="AM45" s="81">
        <v>0</v>
      </c>
      <c r="AN45" s="81">
        <v>0</v>
      </c>
      <c r="AO45" s="81">
        <v>0</v>
      </c>
      <c r="AP45" s="81">
        <v>0</v>
      </c>
      <c r="AQ45" s="81">
        <v>0</v>
      </c>
      <c r="AR45" s="81">
        <v>0</v>
      </c>
      <c r="AS45" s="81">
        <v>0</v>
      </c>
      <c r="AT45" s="82">
        <v>0</v>
      </c>
    </row>
    <row r="46" spans="2:46" ht="12" customHeight="1" x14ac:dyDescent="0.25">
      <c r="B46" s="80" t="s">
        <v>28</v>
      </c>
      <c r="C46" s="81" t="s">
        <v>23</v>
      </c>
      <c r="D46" s="81" t="s">
        <v>25</v>
      </c>
      <c r="E46" s="81" t="s">
        <v>25</v>
      </c>
      <c r="F46" s="81" t="s">
        <v>25</v>
      </c>
      <c r="G46" s="81" t="s">
        <v>25</v>
      </c>
      <c r="H46" s="81" t="s">
        <v>60</v>
      </c>
      <c r="I46" s="81" t="s">
        <v>25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X46" s="81">
        <v>0</v>
      </c>
      <c r="Y46" s="81">
        <v>0</v>
      </c>
      <c r="Z46" s="81">
        <v>0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0</v>
      </c>
      <c r="AP46" s="81">
        <v>0</v>
      </c>
      <c r="AQ46" s="81">
        <v>0</v>
      </c>
      <c r="AR46" s="81">
        <v>0</v>
      </c>
      <c r="AS46" s="81">
        <v>0</v>
      </c>
      <c r="AT46" s="82">
        <v>0</v>
      </c>
    </row>
    <row r="47" spans="2:46" ht="12" customHeight="1" x14ac:dyDescent="0.25">
      <c r="B47" s="80" t="s">
        <v>28</v>
      </c>
      <c r="C47" s="81" t="s">
        <v>78</v>
      </c>
      <c r="D47" s="81" t="s">
        <v>25</v>
      </c>
      <c r="E47" s="81" t="s">
        <v>25</v>
      </c>
      <c r="F47" s="81" t="s">
        <v>25</v>
      </c>
      <c r="G47" s="81" t="s">
        <v>25</v>
      </c>
      <c r="H47" s="81" t="s">
        <v>60</v>
      </c>
      <c r="I47" s="81" t="s">
        <v>25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>
        <v>0</v>
      </c>
      <c r="Q47" s="81">
        <v>0</v>
      </c>
      <c r="R47" s="81">
        <v>0</v>
      </c>
      <c r="S47" s="81">
        <v>0</v>
      </c>
      <c r="T47" s="81">
        <v>0</v>
      </c>
      <c r="U47" s="81">
        <v>0</v>
      </c>
      <c r="V47" s="81">
        <v>0</v>
      </c>
      <c r="W47" s="81">
        <v>0</v>
      </c>
      <c r="X47" s="81">
        <v>0</v>
      </c>
      <c r="Y47" s="81">
        <v>0</v>
      </c>
      <c r="Z47" s="81">
        <v>0</v>
      </c>
      <c r="AA47" s="81">
        <v>0</v>
      </c>
      <c r="AB47" s="81">
        <v>0</v>
      </c>
      <c r="AC47" s="81">
        <v>0</v>
      </c>
      <c r="AD47" s="81">
        <v>0</v>
      </c>
      <c r="AE47" s="81">
        <v>0</v>
      </c>
      <c r="AF47" s="81">
        <v>0</v>
      </c>
      <c r="AG47" s="81">
        <v>0</v>
      </c>
      <c r="AH47" s="81">
        <v>0</v>
      </c>
      <c r="AI47" s="81">
        <v>0</v>
      </c>
      <c r="AJ47" s="81">
        <v>0</v>
      </c>
      <c r="AK47" s="81">
        <v>0</v>
      </c>
      <c r="AL47" s="81">
        <v>0</v>
      </c>
      <c r="AM47" s="81">
        <v>0</v>
      </c>
      <c r="AN47" s="81">
        <v>0</v>
      </c>
      <c r="AO47" s="81">
        <v>0</v>
      </c>
      <c r="AP47" s="81">
        <v>0</v>
      </c>
      <c r="AQ47" s="81">
        <v>0</v>
      </c>
      <c r="AR47" s="81">
        <v>0</v>
      </c>
      <c r="AS47" s="81">
        <v>0</v>
      </c>
      <c r="AT47" s="82">
        <v>0</v>
      </c>
    </row>
    <row r="48" spans="2:46" ht="12" customHeight="1" x14ac:dyDescent="0.25">
      <c r="B48" s="80" t="s">
        <v>34</v>
      </c>
      <c r="C48" s="81" t="s">
        <v>23</v>
      </c>
      <c r="D48" s="81" t="s">
        <v>35</v>
      </c>
      <c r="E48" s="81" t="s">
        <v>36</v>
      </c>
      <c r="F48" s="81" t="s">
        <v>25</v>
      </c>
      <c r="G48" s="81" t="s">
        <v>25</v>
      </c>
      <c r="H48" s="81" t="s">
        <v>60</v>
      </c>
      <c r="I48" s="81" t="s">
        <v>25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  <c r="O48" s="81">
        <v>0</v>
      </c>
      <c r="P48" s="81">
        <v>0</v>
      </c>
      <c r="Q48" s="81">
        <v>0</v>
      </c>
      <c r="R48" s="81">
        <v>0</v>
      </c>
      <c r="S48" s="81">
        <v>0</v>
      </c>
      <c r="T48" s="81">
        <v>0</v>
      </c>
      <c r="U48" s="81">
        <v>0</v>
      </c>
      <c r="V48" s="81">
        <v>0</v>
      </c>
      <c r="W48" s="81">
        <v>0</v>
      </c>
      <c r="X48" s="81">
        <v>0</v>
      </c>
      <c r="Y48" s="81">
        <v>0</v>
      </c>
      <c r="Z48" s="81">
        <v>0</v>
      </c>
      <c r="AA48" s="81">
        <v>0</v>
      </c>
      <c r="AB48" s="81">
        <v>0</v>
      </c>
      <c r="AC48" s="81">
        <v>0</v>
      </c>
      <c r="AD48" s="81">
        <v>0</v>
      </c>
      <c r="AE48" s="81">
        <v>0</v>
      </c>
      <c r="AF48" s="81">
        <v>0</v>
      </c>
      <c r="AG48" s="81">
        <v>0</v>
      </c>
      <c r="AH48" s="81">
        <v>0</v>
      </c>
      <c r="AI48" s="81">
        <v>0</v>
      </c>
      <c r="AJ48" s="81">
        <v>0</v>
      </c>
      <c r="AK48" s="81">
        <v>0</v>
      </c>
      <c r="AL48" s="81">
        <v>0</v>
      </c>
      <c r="AM48" s="81">
        <v>0</v>
      </c>
      <c r="AN48" s="81">
        <v>0</v>
      </c>
      <c r="AO48" s="81">
        <v>0</v>
      </c>
      <c r="AP48" s="81">
        <v>0</v>
      </c>
      <c r="AQ48" s="81">
        <v>0</v>
      </c>
      <c r="AR48" s="81">
        <v>0</v>
      </c>
      <c r="AS48" s="81">
        <v>0</v>
      </c>
      <c r="AT48" s="82">
        <v>0</v>
      </c>
    </row>
    <row r="49" spans="2:46" ht="12" customHeight="1" x14ac:dyDescent="0.25">
      <c r="B49" s="83" t="s">
        <v>34</v>
      </c>
      <c r="C49" s="84" t="s">
        <v>23</v>
      </c>
      <c r="D49" s="84" t="s">
        <v>35</v>
      </c>
      <c r="E49" s="84" t="s">
        <v>81</v>
      </c>
      <c r="F49" s="84" t="s">
        <v>25</v>
      </c>
      <c r="G49" s="84" t="s">
        <v>25</v>
      </c>
      <c r="H49" s="84" t="s">
        <v>60</v>
      </c>
      <c r="I49" s="84" t="s">
        <v>25</v>
      </c>
      <c r="J49" s="84">
        <v>0</v>
      </c>
      <c r="K49" s="84">
        <v>0</v>
      </c>
      <c r="L49" s="84">
        <v>0</v>
      </c>
      <c r="M49" s="84">
        <v>0</v>
      </c>
      <c r="N49" s="84">
        <v>0</v>
      </c>
      <c r="O49" s="84">
        <v>0</v>
      </c>
      <c r="P49" s="84">
        <v>0</v>
      </c>
      <c r="Q49" s="84">
        <v>0</v>
      </c>
      <c r="R49" s="84">
        <v>0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0</v>
      </c>
      <c r="Y49" s="84">
        <v>0</v>
      </c>
      <c r="Z49" s="84">
        <v>0</v>
      </c>
      <c r="AA49" s="84">
        <v>0</v>
      </c>
      <c r="AB49" s="84">
        <v>0</v>
      </c>
      <c r="AC49" s="84">
        <v>0</v>
      </c>
      <c r="AD49" s="84">
        <v>0</v>
      </c>
      <c r="AE49" s="84">
        <v>0</v>
      </c>
      <c r="AF49" s="84">
        <v>0</v>
      </c>
      <c r="AG49" s="84">
        <v>0</v>
      </c>
      <c r="AH49" s="84">
        <v>0</v>
      </c>
      <c r="AI49" s="84">
        <v>0</v>
      </c>
      <c r="AJ49" s="84">
        <v>0</v>
      </c>
      <c r="AK49" s="84">
        <v>0</v>
      </c>
      <c r="AL49" s="84">
        <v>0</v>
      </c>
      <c r="AM49" s="84">
        <v>0</v>
      </c>
      <c r="AN49" s="84">
        <v>0</v>
      </c>
      <c r="AO49" s="84">
        <v>0</v>
      </c>
      <c r="AP49" s="84">
        <v>0</v>
      </c>
      <c r="AQ49" s="84">
        <v>0</v>
      </c>
      <c r="AR49" s="84">
        <v>0</v>
      </c>
      <c r="AS49" s="84">
        <v>0</v>
      </c>
      <c r="AT49" s="85">
        <v>0</v>
      </c>
    </row>
  </sheetData>
  <mergeCells count="8">
    <mergeCell ref="L1:AH1"/>
    <mergeCell ref="AI1:AT1"/>
    <mergeCell ref="L2:S2"/>
    <mergeCell ref="T2:Z2"/>
    <mergeCell ref="AB2:AD2"/>
    <mergeCell ref="AE2:AH2"/>
    <mergeCell ref="AI2:AM2"/>
    <mergeCell ref="AO2:AS2"/>
  </mergeCells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B048-C6E7-43BE-B65E-5B5806626C01}">
  <sheetPr codeName="Planilha4"/>
  <dimension ref="A1:AD49"/>
  <sheetViews>
    <sheetView showGridLines="0" workbookViewId="0">
      <selection activeCell="A2" sqref="A2:W11"/>
    </sheetView>
  </sheetViews>
  <sheetFormatPr defaultColWidth="9.140625"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10" width="6.140625" style="9" bestFit="1" customWidth="1"/>
    <col min="11" max="12" width="5.7109375" style="9" bestFit="1" customWidth="1"/>
    <col min="13" max="13" width="6.42578125" style="9" bestFit="1" customWidth="1"/>
    <col min="14" max="14" width="5.85546875" style="9" bestFit="1" customWidth="1"/>
    <col min="15" max="15" width="6.140625" style="9" bestFit="1" customWidth="1"/>
    <col min="16" max="17" width="5.7109375" style="9" bestFit="1" customWidth="1"/>
    <col min="18" max="18" width="6.140625" style="9" bestFit="1" customWidth="1"/>
    <col min="19" max="20" width="5.85546875" style="9" bestFit="1" customWidth="1"/>
    <col min="21" max="21" width="14.140625" style="9" bestFit="1" customWidth="1"/>
    <col min="22" max="16384" width="9.140625" style="9"/>
  </cols>
  <sheetData>
    <row r="1" spans="1:30" ht="11.25" customHeight="1" x14ac:dyDescent="0.25">
      <c r="A1" s="10" t="s">
        <v>49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56</v>
      </c>
      <c r="I1" s="11">
        <v>44501</v>
      </c>
      <c r="J1" s="11">
        <v>44531</v>
      </c>
      <c r="K1" s="11">
        <v>44562</v>
      </c>
      <c r="L1" s="11">
        <v>44593</v>
      </c>
      <c r="M1" s="11">
        <v>44621</v>
      </c>
      <c r="N1" s="11">
        <v>44652</v>
      </c>
      <c r="O1" s="11">
        <v>44682</v>
      </c>
      <c r="P1" s="11">
        <v>44713</v>
      </c>
      <c r="Q1" s="11">
        <v>44743</v>
      </c>
      <c r="R1" s="11">
        <v>44774</v>
      </c>
      <c r="S1" s="11">
        <v>44805</v>
      </c>
      <c r="T1" s="11">
        <v>44835</v>
      </c>
      <c r="U1" s="10" t="s">
        <v>57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25">
      <c r="A2" s="88" t="s">
        <v>58</v>
      </c>
      <c r="B2" s="88" t="s">
        <v>63</v>
      </c>
      <c r="C2" s="88" t="s">
        <v>25</v>
      </c>
      <c r="D2" s="88" t="s">
        <v>25</v>
      </c>
      <c r="E2" s="88" t="s">
        <v>25</v>
      </c>
      <c r="F2" s="88" t="s">
        <v>25</v>
      </c>
      <c r="G2" s="13" t="s">
        <v>65</v>
      </c>
      <c r="H2" s="13" t="s">
        <v>64</v>
      </c>
      <c r="I2" s="13">
        <f>SUMIF(Mercado_Receita!$S$2:$S$174,"44501A4AzulNão se aplicaNão se aplicaNão se aplicaNão se aplicaPonta",Mercado_Receita!$J$2:$J$174)+SUMIF(Mercado_Receita!$S$2:$S$174,"44501A4AzulNão se aplicaNão se aplicaAPENão se aplicaPonta",Mercado_Receita!$J$2:$J$174)</f>
        <v>0</v>
      </c>
      <c r="J2" s="13">
        <f>SUMIF(Mercado_Receita!$S$2:$S$174,"44531A4AzulNão se aplicaNão se aplicaNão se aplicaNão se aplicaPonta",Mercado_Receita!$J$2:$J$174)+SUMIF(Mercado_Receita!$S$2:$S$174,"44531A4AzulNão se aplicaNão se aplicaAPENão se aplicaPonta",Mercado_Receita!$J$2:$J$174)</f>
        <v>0</v>
      </c>
      <c r="K2" s="13">
        <f>SUMIF(Mercado_Receita!$S$2:$S$174,"44562A4AzulNão se aplicaNão se aplicaNão se aplicaNão se aplicaPonta",Mercado_Receita!$J$2:$J$174)+SUMIF(Mercado_Receita!$S$2:$S$174,"44562A4AzulNão se aplicaNão se aplicaAPENão se aplicaPonta",Mercado_Receita!$J$2:$J$174)</f>
        <v>0</v>
      </c>
      <c r="L2" s="13">
        <f>SUMIF(Mercado_Receita!$S$2:$S$174,"44593A4AzulNão se aplicaNão se aplicaNão se aplicaNão se aplicaPonta",Mercado_Receita!$J$2:$J$174)+SUMIF(Mercado_Receita!$S$2:$S$174,"44593A4AzulNão se aplicaNão se aplicaAPENão se aplicaPonta",Mercado_Receita!$J$2:$J$174)</f>
        <v>0</v>
      </c>
      <c r="M2" s="13">
        <f>SUMIF(Mercado_Receita!$S$2:$S$174,"44621A4AzulNão se aplicaNão se aplicaNão se aplicaNão se aplicaPonta",Mercado_Receita!$J$2:$J$174)+SUMIF(Mercado_Receita!$S$2:$S$174,"44621A4AzulNão se aplicaNão se aplicaAPENão se aplicaPonta",Mercado_Receita!$J$2:$J$174)</f>
        <v>0</v>
      </c>
      <c r="N2" s="13">
        <f>SUMIF(Mercado_Receita!$S$2:$S$174,"44652A4AzulNão se aplicaNão se aplicaNão se aplicaNão se aplicaPonta",Mercado_Receita!$J$2:$J$174)+SUMIF(Mercado_Receita!$S$2:$S$174,"44652A4AzulNão se aplicaNão se aplicaAPENão se aplicaPonta",Mercado_Receita!$J$2:$J$174)</f>
        <v>0</v>
      </c>
      <c r="O2" s="13">
        <f>SUMIF(Mercado_Receita!$S$2:$S$174,"44682A4AzulNão se aplicaNão se aplicaNão se aplicaNão se aplicaPonta",Mercado_Receita!$J$2:$J$174)+SUMIF(Mercado_Receita!$S$2:$S$174,"44682A4AzulNão se aplicaNão se aplicaAPENão se aplicaPonta",Mercado_Receita!$J$2:$J$174)</f>
        <v>0</v>
      </c>
      <c r="P2" s="13">
        <f>SUMIF(Mercado_Receita!$S$2:$S$174,"44713A4AzulNão se aplicaNão se aplicaNão se aplicaNão se aplicaPonta",Mercado_Receita!$J$2:$J$174)+SUMIF(Mercado_Receita!$S$2:$S$174,"44713A4AzulNão se aplicaNão se aplicaAPENão se aplicaPonta",Mercado_Receita!$J$2:$J$174)</f>
        <v>0</v>
      </c>
      <c r="Q2" s="13">
        <f>SUMIF(Mercado_Receita!$S$2:$S$174,"44743A4AzulNão se aplicaNão se aplicaNão se aplicaNão se aplicaPonta",Mercado_Receita!$J$2:$J$174)+SUMIF(Mercado_Receita!$S$2:$S$174,"44743A4AzulNão se aplicaNão se aplicaAPENão se aplicaPonta",Mercado_Receita!$J$2:$J$174)</f>
        <v>0</v>
      </c>
      <c r="R2" s="13">
        <f>SUMIF(Mercado_Receita!$S$2:$S$174,"44774A4AzulNão se aplicaNão se aplicaNão se aplicaNão se aplicaPonta",Mercado_Receita!$J$2:$J$174)+SUMIF(Mercado_Receita!$S$2:$S$174,"44774A4AzulNão se aplicaNão se aplicaAPENão se aplicaPonta",Mercado_Receita!$J$2:$J$174)</f>
        <v>0</v>
      </c>
      <c r="S2" s="13">
        <f>SUMIF(Mercado_Receita!$S$2:$S$174,"44805A4AzulNão se aplicaNão se aplicaNão se aplicaNão se aplicaPonta",Mercado_Receita!$J$2:$J$174)+SUMIF(Mercado_Receita!$S$2:$S$174,"44805A4AzulNão se aplicaNão se aplicaAPENão se aplicaPonta",Mercado_Receita!$J$2:$J$174)</f>
        <v>0</v>
      </c>
      <c r="T2" s="13">
        <f>SUMIF(Mercado_Receita!$S$2:$S$174,"44835A4AzulNão se aplicaNão se aplicaNão se aplicaNão se aplicaPonta",Mercado_Receita!$J$2:$J$174)+SUMIF(Mercado_Receita!$S$2:$S$174,"44835A4AzulNão se aplicaNão se aplicaAPENão se aplicaPonta",Mercado_Receita!$J$2:$J$174)</f>
        <v>0</v>
      </c>
      <c r="U2" s="13">
        <f t="shared" ref="U2:U48" si="0">SUM(I2:T2)</f>
        <v>0</v>
      </c>
      <c r="V2" s="13"/>
      <c r="W2" s="13"/>
    </row>
    <row r="3" spans="1:30" ht="11.25" customHeight="1" x14ac:dyDescent="0.25">
      <c r="A3" s="89"/>
      <c r="B3" s="89"/>
      <c r="C3" s="89"/>
      <c r="D3" s="89"/>
      <c r="E3" s="89"/>
      <c r="F3" s="89"/>
      <c r="G3" s="13" t="s">
        <v>66</v>
      </c>
      <c r="H3" s="13" t="s">
        <v>64</v>
      </c>
      <c r="I3" s="13">
        <f>SUMIF(Mercado_Receita!$S$2:$S$174,"44501A4AzulNão se aplicaNão se aplicaNão se aplicaNão se aplicaFora ponta",Mercado_Receita!$J$2:$J$174)+SUMIF(Mercado_Receita!$S$2:$S$174,"44501A4AzulNão se aplicaNão se aplicaAPENão se aplicaFora ponta",Mercado_Receita!$J$2:$J$174)</f>
        <v>0</v>
      </c>
      <c r="J3" s="13">
        <f>SUMIF(Mercado_Receita!$S$2:$S$174,"44531A4AzulNão se aplicaNão se aplicaNão se aplicaNão se aplicaFora ponta",Mercado_Receita!$J$2:$J$174)+SUMIF(Mercado_Receita!$S$2:$S$174,"44531A4AzulNão se aplicaNão se aplicaAPENão se aplicaFora ponta",Mercado_Receita!$J$2:$J$174)</f>
        <v>0</v>
      </c>
      <c r="K3" s="13">
        <f>SUMIF(Mercado_Receita!$S$2:$S$174,"44562A4AzulNão se aplicaNão se aplicaNão se aplicaNão se aplicaFora ponta",Mercado_Receita!$J$2:$J$174)+SUMIF(Mercado_Receita!$S$2:$S$174,"44562A4AzulNão se aplicaNão se aplicaAPENão se aplicaFora ponta",Mercado_Receita!$J$2:$J$174)</f>
        <v>0</v>
      </c>
      <c r="L3" s="13">
        <f>SUMIF(Mercado_Receita!$S$2:$S$174,"44593A4AzulNão se aplicaNão se aplicaNão se aplicaNão se aplicaFora ponta",Mercado_Receita!$J$2:$J$174)+SUMIF(Mercado_Receita!$S$2:$S$174,"44593A4AzulNão se aplicaNão se aplicaAPENão se aplicaFora ponta",Mercado_Receita!$J$2:$J$174)</f>
        <v>0</v>
      </c>
      <c r="M3" s="13">
        <f>SUMIF(Mercado_Receita!$S$2:$S$174,"44621A4AzulNão se aplicaNão se aplicaNão se aplicaNão se aplicaFora ponta",Mercado_Receita!$J$2:$J$174)+SUMIF(Mercado_Receita!$S$2:$S$174,"44621A4AzulNão se aplicaNão se aplicaAPENão se aplicaFora ponta",Mercado_Receita!$J$2:$J$174)</f>
        <v>0</v>
      </c>
      <c r="N3" s="13">
        <f>SUMIF(Mercado_Receita!$S$2:$S$174,"44652A4AzulNão se aplicaNão se aplicaNão se aplicaNão se aplicaFora ponta",Mercado_Receita!$J$2:$J$174)+SUMIF(Mercado_Receita!$S$2:$S$174,"44652A4AzulNão se aplicaNão se aplicaAPENão se aplicaFora ponta",Mercado_Receita!$J$2:$J$174)</f>
        <v>0</v>
      </c>
      <c r="O3" s="13">
        <f>SUMIF(Mercado_Receita!$S$2:$S$174,"44682A4AzulNão se aplicaNão se aplicaNão se aplicaNão se aplicaFora ponta",Mercado_Receita!$J$2:$J$174)+SUMIF(Mercado_Receita!$S$2:$S$174,"44682A4AzulNão se aplicaNão se aplicaAPENão se aplicaFora ponta",Mercado_Receita!$J$2:$J$174)</f>
        <v>0</v>
      </c>
      <c r="P3" s="13">
        <f>SUMIF(Mercado_Receita!$S$2:$S$174,"44713A4AzulNão se aplicaNão se aplicaNão se aplicaNão se aplicaFora ponta",Mercado_Receita!$J$2:$J$174)+SUMIF(Mercado_Receita!$S$2:$S$174,"44713A4AzulNão se aplicaNão se aplicaAPENão se aplicaFora ponta",Mercado_Receita!$J$2:$J$174)</f>
        <v>0</v>
      </c>
      <c r="Q3" s="13">
        <f>SUMIF(Mercado_Receita!$S$2:$S$174,"44743A4AzulNão se aplicaNão se aplicaNão se aplicaNão se aplicaFora ponta",Mercado_Receita!$J$2:$J$174)+SUMIF(Mercado_Receita!$S$2:$S$174,"44743A4AzulNão se aplicaNão se aplicaAPENão se aplicaFora ponta",Mercado_Receita!$J$2:$J$174)</f>
        <v>0</v>
      </c>
      <c r="R3" s="13">
        <f>SUMIF(Mercado_Receita!$S$2:$S$174,"44774A4AzulNão se aplicaNão se aplicaNão se aplicaNão se aplicaFora ponta",Mercado_Receita!$J$2:$J$174)+SUMIF(Mercado_Receita!$S$2:$S$174,"44774A4AzulNão se aplicaNão se aplicaAPENão se aplicaFora ponta",Mercado_Receita!$J$2:$J$174)</f>
        <v>0</v>
      </c>
      <c r="S3" s="13">
        <f>SUMIF(Mercado_Receita!$S$2:$S$174,"44805A4AzulNão se aplicaNão se aplicaNão se aplicaNão se aplicaFora ponta",Mercado_Receita!$J$2:$J$174)+SUMIF(Mercado_Receita!$S$2:$S$174,"44805A4AzulNão se aplicaNão se aplicaAPENão se aplicaFora ponta",Mercado_Receita!$J$2:$J$174)</f>
        <v>0</v>
      </c>
      <c r="T3" s="13">
        <f>SUMIF(Mercado_Receita!$S$2:$S$174,"44835A4AzulNão se aplicaNão se aplicaNão se aplicaNão se aplicaFora ponta",Mercado_Receita!$J$2:$J$174)+SUMIF(Mercado_Receita!$S$2:$S$174,"44835A4AzulNão se aplicaNão se aplicaAPENão se aplicaFora ponta",Mercado_Receita!$J$2:$J$174)</f>
        <v>0</v>
      </c>
      <c r="U3" s="13">
        <f t="shared" si="0"/>
        <v>0</v>
      </c>
      <c r="V3" s="13"/>
      <c r="W3" s="13"/>
    </row>
    <row r="4" spans="1:30" ht="11.25" customHeight="1" x14ac:dyDescent="0.25">
      <c r="A4" s="89"/>
      <c r="B4" s="89"/>
      <c r="C4" s="89"/>
      <c r="D4" s="89"/>
      <c r="E4" s="89"/>
      <c r="F4" s="89"/>
      <c r="G4" s="13" t="s">
        <v>67</v>
      </c>
      <c r="H4" s="13" t="s">
        <v>60</v>
      </c>
      <c r="I4" s="13">
        <f>SUMIF(Mercado_Receita!$S$2:$S$174,"44501A4AzulNão se aplicaNão se aplicaNão se aplicaNão se aplicaPonta",Mercado_Receita!$L$2:$L$174)+SUMIF(Mercado_Receita!$S$2:$S$174,"44501A4AzulNão se aplicaNão se aplicaNão se aplicaNão se aplicaFora ponta",Mercado_Receita!$L$2:$L$174)+SUMIF(Mercado_Receita!$S$2:$S$174,"44501A4AzulNão se aplicaNão se aplicaNão se aplicaNão se aplicaIntermediário",Mercado_Receita!$L$2:$L$174)+SUMIF(Mercado_Receita!$S$2:$S$174,"44501A4AzulNão se aplicaNão se aplicaNão se aplicaNão se aplicaNão se aplica",Mercado_Receita!$L$2:$L$174)</f>
        <v>0</v>
      </c>
      <c r="J4" s="13">
        <f>SUMIF(Mercado_Receita!$S$2:$S$174,"44531A4AzulNão se aplicaNão se aplicaNão se aplicaNão se aplicaPonta",Mercado_Receita!$L$2:$L$174)+SUMIF(Mercado_Receita!$S$2:$S$174,"44531A4AzulNão se aplicaNão se aplicaNão se aplicaNão se aplicaFora ponta",Mercado_Receita!$L$2:$L$174)+SUMIF(Mercado_Receita!$S$2:$S$174,"44531A4AzulNão se aplicaNão se aplicaNão se aplicaNão se aplicaIntermediário",Mercado_Receita!$L$2:$L$174)+SUMIF(Mercado_Receita!$S$2:$S$174,"44531A4AzulNão se aplicaNão se aplicaNão se aplicaNão se aplicaNão se aplica",Mercado_Receita!$L$2:$L$174)</f>
        <v>0</v>
      </c>
      <c r="K4" s="13">
        <f>SUMIF(Mercado_Receita!$S$2:$S$174,"44562A4AzulNão se aplicaNão se aplicaNão se aplicaNão se aplicaPonta",Mercado_Receita!$L$2:$L$174)+SUMIF(Mercado_Receita!$S$2:$S$174,"44562A4AzulNão se aplicaNão se aplicaNão se aplicaNão se aplicaFora ponta",Mercado_Receita!$L$2:$L$174)+SUMIF(Mercado_Receita!$S$2:$S$174,"44562A4AzulNão se aplicaNão se aplicaNão se aplicaNão se aplicaIntermediário",Mercado_Receita!$L$2:$L$174)+SUMIF(Mercado_Receita!$S$2:$S$174,"44562A4AzulNão se aplicaNão se aplicaNão se aplicaNão se aplicaNão se aplica",Mercado_Receita!$L$2:$L$174)</f>
        <v>0</v>
      </c>
      <c r="L4" s="13">
        <f>SUMIF(Mercado_Receita!$S$2:$S$174,"44593A4AzulNão se aplicaNão se aplicaNão se aplicaNão se aplicaPonta",Mercado_Receita!$L$2:$L$174)+SUMIF(Mercado_Receita!$S$2:$S$174,"44593A4AzulNão se aplicaNão se aplicaNão se aplicaNão se aplicaFora ponta",Mercado_Receita!$L$2:$L$174)+SUMIF(Mercado_Receita!$S$2:$S$174,"44593A4AzulNão se aplicaNão se aplicaNão se aplicaNão se aplicaIntermediário",Mercado_Receita!$L$2:$L$174)+SUMIF(Mercado_Receita!$S$2:$S$174,"44593A4AzulNão se aplicaNão se aplicaNão se aplicaNão se aplicaNão se aplica",Mercado_Receita!$L$2:$L$174)</f>
        <v>0</v>
      </c>
      <c r="M4" s="13">
        <f>SUMIF(Mercado_Receita!$S$2:$S$174,"44621A4AzulNão se aplicaNão se aplicaNão se aplicaNão se aplicaPonta",Mercado_Receita!$L$2:$L$174)+SUMIF(Mercado_Receita!$S$2:$S$174,"44621A4AzulNão se aplicaNão se aplicaNão se aplicaNão se aplicaFora ponta",Mercado_Receita!$L$2:$L$174)+SUMIF(Mercado_Receita!$S$2:$S$174,"44621A4AzulNão se aplicaNão se aplicaNão se aplicaNão se aplicaIntermediário",Mercado_Receita!$L$2:$L$174)+SUMIF(Mercado_Receita!$S$2:$S$174,"44621A4AzulNão se aplicaNão se aplicaNão se aplicaNão se aplicaNão se aplica",Mercado_Receita!$L$2:$L$174)</f>
        <v>0</v>
      </c>
      <c r="N4" s="13">
        <f>SUMIF(Mercado_Receita!$S$2:$S$174,"44652A4AzulNão se aplicaNão se aplicaNão se aplicaNão se aplicaPonta",Mercado_Receita!$L$2:$L$174)+SUMIF(Mercado_Receita!$S$2:$S$174,"44652A4AzulNão se aplicaNão se aplicaNão se aplicaNão se aplicaFora ponta",Mercado_Receita!$L$2:$L$174)+SUMIF(Mercado_Receita!$S$2:$S$174,"44652A4AzulNão se aplicaNão se aplicaNão se aplicaNão se aplicaIntermediário",Mercado_Receita!$L$2:$L$174)+SUMIF(Mercado_Receita!$S$2:$S$174,"44652A4AzulNão se aplicaNão se aplicaNão se aplicaNão se aplicaNão se aplica",Mercado_Receita!$L$2:$L$174)</f>
        <v>0</v>
      </c>
      <c r="O4" s="13">
        <f>SUMIF(Mercado_Receita!$S$2:$S$174,"44682A4AzulNão se aplicaNão se aplicaNão se aplicaNão se aplicaPonta",Mercado_Receita!$L$2:$L$174)+SUMIF(Mercado_Receita!$S$2:$S$174,"44682A4AzulNão se aplicaNão se aplicaNão se aplicaNão se aplicaFora ponta",Mercado_Receita!$L$2:$L$174)+SUMIF(Mercado_Receita!$S$2:$S$174,"44682A4AzulNão se aplicaNão se aplicaNão se aplicaNão se aplicaIntermediário",Mercado_Receita!$L$2:$L$174)+SUMIF(Mercado_Receita!$S$2:$S$174,"44682A4AzulNão se aplicaNão se aplicaNão se aplicaNão se aplicaNão se aplica",Mercado_Receita!$L$2:$L$174)</f>
        <v>0</v>
      </c>
      <c r="P4" s="13">
        <f>SUMIF(Mercado_Receita!$S$2:$S$174,"44713A4AzulNão se aplicaNão se aplicaNão se aplicaNão se aplicaPonta",Mercado_Receita!$L$2:$L$174)+SUMIF(Mercado_Receita!$S$2:$S$174,"44713A4AzulNão se aplicaNão se aplicaNão se aplicaNão se aplicaFora ponta",Mercado_Receita!$L$2:$L$174)+SUMIF(Mercado_Receita!$S$2:$S$174,"44713A4AzulNão se aplicaNão se aplicaNão se aplicaNão se aplicaIntermediário",Mercado_Receita!$L$2:$L$174)+SUMIF(Mercado_Receita!$S$2:$S$174,"44713A4AzulNão se aplicaNão se aplicaNão se aplicaNão se aplicaNão se aplica",Mercado_Receita!$L$2:$L$174)</f>
        <v>0</v>
      </c>
      <c r="Q4" s="13">
        <f>SUMIF(Mercado_Receita!$S$2:$S$174,"44743A4AzulNão se aplicaNão se aplicaNão se aplicaNão se aplicaPonta",Mercado_Receita!$L$2:$L$174)+SUMIF(Mercado_Receita!$S$2:$S$174,"44743A4AzulNão se aplicaNão se aplicaNão se aplicaNão se aplicaFora ponta",Mercado_Receita!$L$2:$L$174)+SUMIF(Mercado_Receita!$S$2:$S$174,"44743A4AzulNão se aplicaNão se aplicaNão se aplicaNão se aplicaIntermediário",Mercado_Receita!$L$2:$L$174)+SUMIF(Mercado_Receita!$S$2:$S$174,"44743A4AzulNão se aplicaNão se aplicaNão se aplicaNão se aplicaNão se aplica",Mercado_Receita!$L$2:$L$174)</f>
        <v>0</v>
      </c>
      <c r="R4" s="13">
        <f>SUMIF(Mercado_Receita!$S$2:$S$174,"44774A4AzulNão se aplicaNão se aplicaNão se aplicaNão se aplicaPonta",Mercado_Receita!$L$2:$L$174)+SUMIF(Mercado_Receita!$S$2:$S$174,"44774A4AzulNão se aplicaNão se aplicaNão se aplicaNão se aplicaFora ponta",Mercado_Receita!$L$2:$L$174)+SUMIF(Mercado_Receita!$S$2:$S$174,"44774A4AzulNão se aplicaNão se aplicaNão se aplicaNão se aplicaIntermediário",Mercado_Receita!$L$2:$L$174)+SUMIF(Mercado_Receita!$S$2:$S$174,"44774A4AzulNão se aplicaNão se aplicaNão se aplicaNão se aplicaNão se aplica",Mercado_Receita!$L$2:$L$174)</f>
        <v>0</v>
      </c>
      <c r="S4" s="13">
        <f>SUMIF(Mercado_Receita!$S$2:$S$174,"44805A4AzulNão se aplicaNão se aplicaNão se aplicaNão se aplicaPonta",Mercado_Receita!$L$2:$L$174)+SUMIF(Mercado_Receita!$S$2:$S$174,"44805A4AzulNão se aplicaNão se aplicaNão se aplicaNão se aplicaFora ponta",Mercado_Receita!$L$2:$L$174)+SUMIF(Mercado_Receita!$S$2:$S$174,"44805A4AzulNão se aplicaNão se aplicaNão se aplicaNão se aplicaIntermediário",Mercado_Receita!$L$2:$L$174)+SUMIF(Mercado_Receita!$S$2:$S$174,"44805A4AzulNão se aplicaNão se aplicaNão se aplicaNão se aplicaNão se aplica",Mercado_Receita!$L$2:$L$174)</f>
        <v>0</v>
      </c>
      <c r="T4" s="13">
        <f>SUMIF(Mercado_Receita!$S$2:$S$174,"44835A4AzulNão se aplicaNão se aplicaNão se aplicaNão se aplicaPonta",Mercado_Receita!$L$2:$L$174)+SUMIF(Mercado_Receita!$S$2:$S$174,"44835A4AzulNão se aplicaNão se aplicaNão se aplicaNão se aplicaFora ponta",Mercado_Receita!$L$2:$L$174)+SUMIF(Mercado_Receita!$S$2:$S$174,"44835A4AzulNão se aplicaNão se aplicaNão se aplicaNão se aplicaIntermediário",Mercado_Receita!$L$2:$L$174)+SUMIF(Mercado_Receita!$S$2:$S$174,"44835A4AzulNão se aplicaNão se aplicaNão se aplicaNão se aplicaNão se aplica",Mercado_Receita!$L$2:$L$174)</f>
        <v>0</v>
      </c>
      <c r="U4" s="13">
        <f t="shared" si="0"/>
        <v>0</v>
      </c>
      <c r="V4" s="13"/>
      <c r="W4" s="13"/>
    </row>
    <row r="5" spans="1:30" ht="11.25" customHeight="1" x14ac:dyDescent="0.25">
      <c r="A5" s="89"/>
      <c r="B5" s="89"/>
      <c r="C5" s="89"/>
      <c r="D5" s="89"/>
      <c r="E5" s="12" t="s">
        <v>68</v>
      </c>
      <c r="F5" s="12" t="s">
        <v>25</v>
      </c>
      <c r="G5" s="13" t="s">
        <v>67</v>
      </c>
      <c r="H5" s="13" t="s">
        <v>60</v>
      </c>
      <c r="I5" s="13">
        <f>SUMIF(Mercado_Receita!$S$2:$S$174,"44501A4AzulNão se aplicaNão se aplicaAPENão se aplicaPonta",Mercado_Receita!$L$2:$L$174)+SUMIF(Mercado_Receita!$S$2:$S$174,"44501A4AzulNão se aplicaNão se aplicaAPENão se aplicaFora ponta",Mercado_Receita!$L$2:$L$174)+SUMIF(Mercado_Receita!$S$2:$S$174,"44501A4AzulNão se aplicaNão se aplicaAPENão se aplicaIntermediário",Mercado_Receita!$L$2:$L$174)+SUMIF(Mercado_Receita!$S$2:$S$174,"44501A4AzulNão se aplicaNão se aplicaAPENão se aplicaNão se aplica",Mercado_Receita!$L$2:$L$174)</f>
        <v>0</v>
      </c>
      <c r="J5" s="13">
        <f>SUMIF(Mercado_Receita!$S$2:$S$174,"44531A4AzulNão se aplicaNão se aplicaAPENão se aplicaPonta",Mercado_Receita!$L$2:$L$174)+SUMIF(Mercado_Receita!$S$2:$S$174,"44531A4AzulNão se aplicaNão se aplicaAPENão se aplicaFora ponta",Mercado_Receita!$L$2:$L$174)+SUMIF(Mercado_Receita!$S$2:$S$174,"44531A4AzulNão se aplicaNão se aplicaAPENão se aplicaIntermediário",Mercado_Receita!$L$2:$L$174)+SUMIF(Mercado_Receita!$S$2:$S$174,"44531A4AzulNão se aplicaNão se aplicaAPENão se aplicaNão se aplica",Mercado_Receita!$L$2:$L$174)</f>
        <v>0</v>
      </c>
      <c r="K5" s="13">
        <f>SUMIF(Mercado_Receita!$S$2:$S$174,"44562A4AzulNão se aplicaNão se aplicaAPENão se aplicaPonta",Mercado_Receita!$L$2:$L$174)+SUMIF(Mercado_Receita!$S$2:$S$174,"44562A4AzulNão se aplicaNão se aplicaAPENão se aplicaFora ponta",Mercado_Receita!$L$2:$L$174)+SUMIF(Mercado_Receita!$S$2:$S$174,"44562A4AzulNão se aplicaNão se aplicaAPENão se aplicaIntermediário",Mercado_Receita!$L$2:$L$174)+SUMIF(Mercado_Receita!$S$2:$S$174,"44562A4AzulNão se aplicaNão se aplicaAPENão se aplicaNão se aplica",Mercado_Receita!$L$2:$L$174)</f>
        <v>0</v>
      </c>
      <c r="L5" s="13">
        <f>SUMIF(Mercado_Receita!$S$2:$S$174,"44593A4AzulNão se aplicaNão se aplicaAPENão se aplicaPonta",Mercado_Receita!$L$2:$L$174)+SUMIF(Mercado_Receita!$S$2:$S$174,"44593A4AzulNão se aplicaNão se aplicaAPENão se aplicaFora ponta",Mercado_Receita!$L$2:$L$174)+SUMIF(Mercado_Receita!$S$2:$S$174,"44593A4AzulNão se aplicaNão se aplicaAPENão se aplicaIntermediário",Mercado_Receita!$L$2:$L$174)+SUMIF(Mercado_Receita!$S$2:$S$174,"44593A4AzulNão se aplicaNão se aplicaAPENão se aplicaNão se aplica",Mercado_Receita!$L$2:$L$174)</f>
        <v>0</v>
      </c>
      <c r="M5" s="13">
        <f>SUMIF(Mercado_Receita!$S$2:$S$174,"44621A4AzulNão se aplicaNão se aplicaAPENão se aplicaPonta",Mercado_Receita!$L$2:$L$174)+SUMIF(Mercado_Receita!$S$2:$S$174,"44621A4AzulNão se aplicaNão se aplicaAPENão se aplicaFora ponta",Mercado_Receita!$L$2:$L$174)+SUMIF(Mercado_Receita!$S$2:$S$174,"44621A4AzulNão se aplicaNão se aplicaAPENão se aplicaIntermediário",Mercado_Receita!$L$2:$L$174)+SUMIF(Mercado_Receita!$S$2:$S$174,"44621A4AzulNão se aplicaNão se aplicaAPENão se aplicaNão se aplica",Mercado_Receita!$L$2:$L$174)</f>
        <v>0</v>
      </c>
      <c r="N5" s="13">
        <f>SUMIF(Mercado_Receita!$S$2:$S$174,"44652A4AzulNão se aplicaNão se aplicaAPENão se aplicaPonta",Mercado_Receita!$L$2:$L$174)+SUMIF(Mercado_Receita!$S$2:$S$174,"44652A4AzulNão se aplicaNão se aplicaAPENão se aplicaFora ponta",Mercado_Receita!$L$2:$L$174)+SUMIF(Mercado_Receita!$S$2:$S$174,"44652A4AzulNão se aplicaNão se aplicaAPENão se aplicaIntermediário",Mercado_Receita!$L$2:$L$174)+SUMIF(Mercado_Receita!$S$2:$S$174,"44652A4AzulNão se aplicaNão se aplicaAPENão se aplicaNão se aplica",Mercado_Receita!$L$2:$L$174)</f>
        <v>0</v>
      </c>
      <c r="O5" s="13">
        <f>SUMIF(Mercado_Receita!$S$2:$S$174,"44682A4AzulNão se aplicaNão se aplicaAPENão se aplicaPonta",Mercado_Receita!$L$2:$L$174)+SUMIF(Mercado_Receita!$S$2:$S$174,"44682A4AzulNão se aplicaNão se aplicaAPENão se aplicaFora ponta",Mercado_Receita!$L$2:$L$174)+SUMIF(Mercado_Receita!$S$2:$S$174,"44682A4AzulNão se aplicaNão se aplicaAPENão se aplicaIntermediário",Mercado_Receita!$L$2:$L$174)+SUMIF(Mercado_Receita!$S$2:$S$174,"44682A4AzulNão se aplicaNão se aplicaAPENão se aplicaNão se aplica",Mercado_Receita!$L$2:$L$174)</f>
        <v>0</v>
      </c>
      <c r="P5" s="13">
        <f>SUMIF(Mercado_Receita!$S$2:$S$174,"44713A4AzulNão se aplicaNão se aplicaAPENão se aplicaPonta",Mercado_Receita!$L$2:$L$174)+SUMIF(Mercado_Receita!$S$2:$S$174,"44713A4AzulNão se aplicaNão se aplicaAPENão se aplicaFora ponta",Mercado_Receita!$L$2:$L$174)+SUMIF(Mercado_Receita!$S$2:$S$174,"44713A4AzulNão se aplicaNão se aplicaAPENão se aplicaIntermediário",Mercado_Receita!$L$2:$L$174)+SUMIF(Mercado_Receita!$S$2:$S$174,"44713A4AzulNão se aplicaNão se aplicaAPENão se aplicaNão se aplica",Mercado_Receita!$L$2:$L$174)</f>
        <v>0</v>
      </c>
      <c r="Q5" s="13">
        <f>SUMIF(Mercado_Receita!$S$2:$S$174,"44743A4AzulNão se aplicaNão se aplicaAPENão se aplicaPonta",Mercado_Receita!$L$2:$L$174)+SUMIF(Mercado_Receita!$S$2:$S$174,"44743A4AzulNão se aplicaNão se aplicaAPENão se aplicaFora ponta",Mercado_Receita!$L$2:$L$174)+SUMIF(Mercado_Receita!$S$2:$S$174,"44743A4AzulNão se aplicaNão se aplicaAPENão se aplicaIntermediário",Mercado_Receita!$L$2:$L$174)+SUMIF(Mercado_Receita!$S$2:$S$174,"44743A4AzulNão se aplicaNão se aplicaAPENão se aplicaNão se aplica",Mercado_Receita!$L$2:$L$174)</f>
        <v>0</v>
      </c>
      <c r="R5" s="13">
        <f>SUMIF(Mercado_Receita!$S$2:$S$174,"44774A4AzulNão se aplicaNão se aplicaAPENão se aplicaPonta",Mercado_Receita!$L$2:$L$174)+SUMIF(Mercado_Receita!$S$2:$S$174,"44774A4AzulNão se aplicaNão se aplicaAPENão se aplicaFora ponta",Mercado_Receita!$L$2:$L$174)+SUMIF(Mercado_Receita!$S$2:$S$174,"44774A4AzulNão se aplicaNão se aplicaAPENão se aplicaIntermediário",Mercado_Receita!$L$2:$L$174)+SUMIF(Mercado_Receita!$S$2:$S$174,"44774A4AzulNão se aplicaNão se aplicaAPENão se aplicaNão se aplica",Mercado_Receita!$L$2:$L$174)</f>
        <v>0</v>
      </c>
      <c r="S5" s="13">
        <f>SUMIF(Mercado_Receita!$S$2:$S$174,"44805A4AzulNão se aplicaNão se aplicaAPENão se aplicaPonta",Mercado_Receita!$L$2:$L$174)+SUMIF(Mercado_Receita!$S$2:$S$174,"44805A4AzulNão se aplicaNão se aplicaAPENão se aplicaFora ponta",Mercado_Receita!$L$2:$L$174)+SUMIF(Mercado_Receita!$S$2:$S$174,"44805A4AzulNão se aplicaNão se aplicaAPENão se aplicaIntermediário",Mercado_Receita!$L$2:$L$174)+SUMIF(Mercado_Receita!$S$2:$S$174,"44805A4AzulNão se aplicaNão se aplicaAPENão se aplicaNão se aplica",Mercado_Receita!$L$2:$L$174)</f>
        <v>0</v>
      </c>
      <c r="T5" s="13">
        <f>SUMIF(Mercado_Receita!$S$2:$S$174,"44835A4AzulNão se aplicaNão se aplicaAPENão se aplicaPonta",Mercado_Receita!$L$2:$L$174)+SUMIF(Mercado_Receita!$S$2:$S$174,"44835A4AzulNão se aplicaNão se aplicaAPENão se aplicaFora ponta",Mercado_Receita!$L$2:$L$174)+SUMIF(Mercado_Receita!$S$2:$S$174,"44835A4AzulNão se aplicaNão se aplicaAPENão se aplicaIntermediário",Mercado_Receita!$L$2:$L$174)+SUMIF(Mercado_Receita!$S$2:$S$174,"44835A4AzulNão se aplicaNão se aplicaAPENão se aplicaNão se aplica",Mercado_Receita!$L$2:$L$174)</f>
        <v>0</v>
      </c>
      <c r="U5" s="13">
        <f t="shared" si="0"/>
        <v>0</v>
      </c>
      <c r="V5" s="13"/>
      <c r="W5" s="13"/>
    </row>
    <row r="6" spans="1:30" ht="11.25" customHeight="1" x14ac:dyDescent="0.25">
      <c r="A6" s="89"/>
      <c r="B6" s="12" t="s">
        <v>69</v>
      </c>
      <c r="C6" s="12" t="s">
        <v>25</v>
      </c>
      <c r="D6" s="12" t="s">
        <v>25</v>
      </c>
      <c r="E6" s="12" t="s">
        <v>25</v>
      </c>
      <c r="F6" s="12" t="s">
        <v>25</v>
      </c>
      <c r="G6" s="13" t="s">
        <v>9</v>
      </c>
      <c r="H6" s="13" t="s">
        <v>64</v>
      </c>
      <c r="I6" s="13">
        <f>SUMIF(Mercado_Receita!$S$2:$S$174,"44501A4GeraçãoNão se aplicaNão se aplicaNão se aplicaNão se aplicaNão se aplica",Mercado_Receita!$J$2:$J$174)+SUMIF(Mercado_Receita!$S$2:$S$174,"44501A4GeraçãoNão se aplicaNão se aplicaAPENão se aplicaNão se aplica",Mercado_Receita!$J$2:$J$174)</f>
        <v>0</v>
      </c>
      <c r="J6" s="13">
        <f>SUMIF(Mercado_Receita!$S$2:$S$174,"44531A4GeraçãoNão se aplicaNão se aplicaNão se aplicaNão se aplicaNão se aplica",Mercado_Receita!$J$2:$J$174)+SUMIF(Mercado_Receita!$S$2:$S$174,"44531A4GeraçãoNão se aplicaNão se aplicaAPENão se aplicaNão se aplica",Mercado_Receita!$J$2:$J$174)</f>
        <v>0</v>
      </c>
      <c r="K6" s="13">
        <f>SUMIF(Mercado_Receita!$S$2:$S$174,"44562A4GeraçãoNão se aplicaNão se aplicaNão se aplicaNão se aplicaNão se aplica",Mercado_Receita!$J$2:$J$174)+SUMIF(Mercado_Receita!$S$2:$S$174,"44562A4GeraçãoNão se aplicaNão se aplicaAPENão se aplicaNão se aplica",Mercado_Receita!$J$2:$J$174)</f>
        <v>0</v>
      </c>
      <c r="L6" s="13">
        <f>SUMIF(Mercado_Receita!$S$2:$S$174,"44593A4GeraçãoNão se aplicaNão se aplicaNão se aplicaNão se aplicaNão se aplica",Mercado_Receita!$J$2:$J$174)+SUMIF(Mercado_Receita!$S$2:$S$174,"44593A4GeraçãoNão se aplicaNão se aplicaAPENão se aplicaNão se aplica",Mercado_Receita!$J$2:$J$174)</f>
        <v>0</v>
      </c>
      <c r="M6" s="13">
        <f>SUMIF(Mercado_Receita!$S$2:$S$174,"44621A4GeraçãoNão se aplicaNão se aplicaNão se aplicaNão se aplicaNão se aplica",Mercado_Receita!$J$2:$J$174)+SUMIF(Mercado_Receita!$S$2:$S$174,"44621A4GeraçãoNão se aplicaNão se aplicaAPENão se aplicaNão se aplica",Mercado_Receita!$J$2:$J$174)</f>
        <v>0</v>
      </c>
      <c r="N6" s="13">
        <f>SUMIF(Mercado_Receita!$S$2:$S$174,"44652A4GeraçãoNão se aplicaNão se aplicaNão se aplicaNão se aplicaNão se aplica",Mercado_Receita!$J$2:$J$174)+SUMIF(Mercado_Receita!$S$2:$S$174,"44652A4GeraçãoNão se aplicaNão se aplicaAPENão se aplicaNão se aplica",Mercado_Receita!$J$2:$J$174)</f>
        <v>0</v>
      </c>
      <c r="O6" s="13">
        <f>SUMIF(Mercado_Receita!$S$2:$S$174,"44682A4GeraçãoNão se aplicaNão se aplicaNão se aplicaNão se aplicaNão se aplica",Mercado_Receita!$J$2:$J$174)+SUMIF(Mercado_Receita!$S$2:$S$174,"44682A4GeraçãoNão se aplicaNão se aplicaAPENão se aplicaNão se aplica",Mercado_Receita!$J$2:$J$174)</f>
        <v>0</v>
      </c>
      <c r="P6" s="13">
        <f>SUMIF(Mercado_Receita!$S$2:$S$174,"44713A4GeraçãoNão se aplicaNão se aplicaNão se aplicaNão se aplicaNão se aplica",Mercado_Receita!$J$2:$J$174)+SUMIF(Mercado_Receita!$S$2:$S$174,"44713A4GeraçãoNão se aplicaNão se aplicaAPENão se aplicaNão se aplica",Mercado_Receita!$J$2:$J$174)</f>
        <v>0</v>
      </c>
      <c r="Q6" s="13">
        <f>SUMIF(Mercado_Receita!$S$2:$S$174,"44743A4GeraçãoNão se aplicaNão se aplicaNão se aplicaNão se aplicaNão se aplica",Mercado_Receita!$J$2:$J$174)+SUMIF(Mercado_Receita!$S$2:$S$174,"44743A4GeraçãoNão se aplicaNão se aplicaAPENão se aplicaNão se aplica",Mercado_Receita!$J$2:$J$174)</f>
        <v>0</v>
      </c>
      <c r="R6" s="13">
        <f>SUMIF(Mercado_Receita!$S$2:$S$174,"44774A4GeraçãoNão se aplicaNão se aplicaNão se aplicaNão se aplicaNão se aplica",Mercado_Receita!$J$2:$J$174)+SUMIF(Mercado_Receita!$S$2:$S$174,"44774A4GeraçãoNão se aplicaNão se aplicaAPENão se aplicaNão se aplica",Mercado_Receita!$J$2:$J$174)</f>
        <v>0</v>
      </c>
      <c r="S6" s="13">
        <f>SUMIF(Mercado_Receita!$S$2:$S$174,"44805A4GeraçãoNão se aplicaNão se aplicaNão se aplicaNão se aplicaNão se aplica",Mercado_Receita!$J$2:$J$174)+SUMIF(Mercado_Receita!$S$2:$S$174,"44805A4GeraçãoNão se aplicaNão se aplicaAPENão se aplicaNão se aplica",Mercado_Receita!$J$2:$J$174)</f>
        <v>0</v>
      </c>
      <c r="T6" s="13">
        <f>SUMIF(Mercado_Receita!$S$2:$S$174,"44835A4GeraçãoNão se aplicaNão se aplicaNão se aplicaNão se aplicaNão se aplica",Mercado_Receita!$J$2:$J$174)+SUMIF(Mercado_Receita!$S$2:$S$174,"44835A4GeraçãoNão se aplicaNão se aplicaAPENão se aplicaNão se aplica",Mercado_Receita!$J$2:$J$174)</f>
        <v>0</v>
      </c>
      <c r="U6" s="13">
        <f t="shared" si="0"/>
        <v>0</v>
      </c>
      <c r="V6" s="13"/>
      <c r="W6" s="13"/>
    </row>
    <row r="7" spans="1:30" ht="11.25" customHeight="1" x14ac:dyDescent="0.25">
      <c r="A7" s="89"/>
      <c r="B7" s="88" t="s">
        <v>70</v>
      </c>
      <c r="C7" s="88" t="s">
        <v>25</v>
      </c>
      <c r="D7" s="88" t="s">
        <v>25</v>
      </c>
      <c r="E7" s="88" t="s">
        <v>25</v>
      </c>
      <c r="F7" s="88" t="s">
        <v>25</v>
      </c>
      <c r="G7" s="13" t="s">
        <v>9</v>
      </c>
      <c r="H7" s="13" t="s">
        <v>64</v>
      </c>
      <c r="I7" s="13">
        <f>SUMIF(Mercado_Receita!$S$2:$S$174,"44501A4VerdeNão se aplicaNão se aplicaNão se aplicaNão se aplicaNão se aplica",Mercado_Receita!$J$2:$J$174)+SUMIF(Mercado_Receita!$S$2:$S$174,"44501A4VerdeNão se aplicaNão se aplicaAPENão se aplicaNão se aplica",Mercado_Receita!$J$2:$J$174)</f>
        <v>0</v>
      </c>
      <c r="J7" s="13">
        <f>SUMIF(Mercado_Receita!$S$2:$S$174,"44531A4VerdeNão se aplicaNão se aplicaNão se aplicaNão se aplicaNão se aplica",Mercado_Receita!$J$2:$J$174)+SUMIF(Mercado_Receita!$S$2:$S$174,"44531A4VerdeNão se aplicaNão se aplicaAPENão se aplicaNão se aplica",Mercado_Receita!$J$2:$J$174)</f>
        <v>0</v>
      </c>
      <c r="K7" s="13">
        <f>SUMIF(Mercado_Receita!$S$2:$S$174,"44562A4VerdeNão se aplicaNão se aplicaNão se aplicaNão se aplicaNão se aplica",Mercado_Receita!$J$2:$J$174)+SUMIF(Mercado_Receita!$S$2:$S$174,"44562A4VerdeNão se aplicaNão se aplicaAPENão se aplicaNão se aplica",Mercado_Receita!$J$2:$J$174)</f>
        <v>0</v>
      </c>
      <c r="L7" s="13">
        <f>SUMIF(Mercado_Receita!$S$2:$S$174,"44593A4VerdeNão se aplicaNão se aplicaNão se aplicaNão se aplicaNão se aplica",Mercado_Receita!$J$2:$J$174)+SUMIF(Mercado_Receita!$S$2:$S$174,"44593A4VerdeNão se aplicaNão se aplicaAPENão se aplicaNão se aplica",Mercado_Receita!$J$2:$J$174)</f>
        <v>0</v>
      </c>
      <c r="M7" s="13">
        <f>SUMIF(Mercado_Receita!$S$2:$S$174,"44621A4VerdeNão se aplicaNão se aplicaNão se aplicaNão se aplicaNão se aplica",Mercado_Receita!$J$2:$J$174)+SUMIF(Mercado_Receita!$S$2:$S$174,"44621A4VerdeNão se aplicaNão se aplicaAPENão se aplicaNão se aplica",Mercado_Receita!$J$2:$J$174)</f>
        <v>0</v>
      </c>
      <c r="N7" s="13">
        <f>SUMIF(Mercado_Receita!$S$2:$S$174,"44652A4VerdeNão se aplicaNão se aplicaNão se aplicaNão se aplicaNão se aplica",Mercado_Receita!$J$2:$J$174)+SUMIF(Mercado_Receita!$S$2:$S$174,"44652A4VerdeNão se aplicaNão se aplicaAPENão se aplicaNão se aplica",Mercado_Receita!$J$2:$J$174)</f>
        <v>0</v>
      </c>
      <c r="O7" s="13">
        <f>SUMIF(Mercado_Receita!$S$2:$S$174,"44682A4VerdeNão se aplicaNão se aplicaNão se aplicaNão se aplicaNão se aplica",Mercado_Receita!$J$2:$J$174)+SUMIF(Mercado_Receita!$S$2:$S$174,"44682A4VerdeNão se aplicaNão se aplicaAPENão se aplicaNão se aplica",Mercado_Receita!$J$2:$J$174)</f>
        <v>0</v>
      </c>
      <c r="P7" s="13">
        <f>SUMIF(Mercado_Receita!$S$2:$S$174,"44713A4VerdeNão se aplicaNão se aplicaNão se aplicaNão se aplicaNão se aplica",Mercado_Receita!$J$2:$J$174)+SUMIF(Mercado_Receita!$S$2:$S$174,"44713A4VerdeNão se aplicaNão se aplicaAPENão se aplicaNão se aplica",Mercado_Receita!$J$2:$J$174)</f>
        <v>0</v>
      </c>
      <c r="Q7" s="13">
        <f>SUMIF(Mercado_Receita!$S$2:$S$174,"44743A4VerdeNão se aplicaNão se aplicaNão se aplicaNão se aplicaNão se aplica",Mercado_Receita!$J$2:$J$174)+SUMIF(Mercado_Receita!$S$2:$S$174,"44743A4VerdeNão se aplicaNão se aplicaAPENão se aplicaNão se aplica",Mercado_Receita!$J$2:$J$174)</f>
        <v>0</v>
      </c>
      <c r="R7" s="13">
        <f>SUMIF(Mercado_Receita!$S$2:$S$174,"44774A4VerdeNão se aplicaNão se aplicaNão se aplicaNão se aplicaNão se aplica",Mercado_Receita!$J$2:$J$174)+SUMIF(Mercado_Receita!$S$2:$S$174,"44774A4VerdeNão se aplicaNão se aplicaAPENão se aplicaNão se aplica",Mercado_Receita!$J$2:$J$174)</f>
        <v>0</v>
      </c>
      <c r="S7" s="13">
        <f>SUMIF(Mercado_Receita!$S$2:$S$174,"44805A4VerdeNão se aplicaNão se aplicaNão se aplicaNão se aplicaNão se aplica",Mercado_Receita!$J$2:$J$174)+SUMIF(Mercado_Receita!$S$2:$S$174,"44805A4VerdeNão se aplicaNão se aplicaAPENão se aplicaNão se aplica",Mercado_Receita!$J$2:$J$174)</f>
        <v>0</v>
      </c>
      <c r="T7" s="13">
        <f>SUMIF(Mercado_Receita!$S$2:$S$174,"44835A4VerdeNão se aplicaNão se aplicaNão se aplicaNão se aplicaNão se aplica",Mercado_Receita!$J$2:$J$174)+SUMIF(Mercado_Receita!$S$2:$S$174,"44835A4VerdeNão se aplicaNão se aplicaAPENão se aplicaNão se aplica",Mercado_Receita!$J$2:$J$174)</f>
        <v>0</v>
      </c>
      <c r="U7" s="13">
        <f t="shared" si="0"/>
        <v>0</v>
      </c>
      <c r="V7" s="13"/>
      <c r="W7" s="13"/>
    </row>
    <row r="8" spans="1:30" ht="11.25" customHeight="1" x14ac:dyDescent="0.25">
      <c r="A8" s="89"/>
      <c r="B8" s="89"/>
      <c r="C8" s="89"/>
      <c r="D8" s="89"/>
      <c r="E8" s="89"/>
      <c r="F8" s="89"/>
      <c r="G8" s="13" t="s">
        <v>61</v>
      </c>
      <c r="H8" s="13" t="s">
        <v>60</v>
      </c>
      <c r="I8" s="13">
        <f>SUMIF(Mercado_Receita!$S$2:$S$174,"44501A4VerdeNão se aplicaNão se aplicaNão se aplicaNão se aplicaPonta",Mercado_Receita!$L$2:$L$174)</f>
        <v>0</v>
      </c>
      <c r="J8" s="13">
        <f>SUMIF(Mercado_Receita!$S$2:$S$174,"44531A4VerdeNão se aplicaNão se aplicaNão se aplicaNão se aplicaPonta",Mercado_Receita!$L$2:$L$174)</f>
        <v>0</v>
      </c>
      <c r="K8" s="13">
        <f>SUMIF(Mercado_Receita!$S$2:$S$174,"44562A4VerdeNão se aplicaNão se aplicaNão se aplicaNão se aplicaPonta",Mercado_Receita!$L$2:$L$174)</f>
        <v>0</v>
      </c>
      <c r="L8" s="13">
        <f>SUMIF(Mercado_Receita!$S$2:$S$174,"44593A4VerdeNão se aplicaNão se aplicaNão se aplicaNão se aplicaPonta",Mercado_Receita!$L$2:$L$174)</f>
        <v>0</v>
      </c>
      <c r="M8" s="13">
        <f>SUMIF(Mercado_Receita!$S$2:$S$174,"44621A4VerdeNão se aplicaNão se aplicaNão se aplicaNão se aplicaPonta",Mercado_Receita!$L$2:$L$174)</f>
        <v>0</v>
      </c>
      <c r="N8" s="13">
        <f>SUMIF(Mercado_Receita!$S$2:$S$174,"44652A4VerdeNão se aplicaNão se aplicaNão se aplicaNão se aplicaPonta",Mercado_Receita!$L$2:$L$174)</f>
        <v>0</v>
      </c>
      <c r="O8" s="13">
        <f>SUMIF(Mercado_Receita!$S$2:$S$174,"44682A4VerdeNão se aplicaNão se aplicaNão se aplicaNão se aplicaPonta",Mercado_Receita!$L$2:$L$174)</f>
        <v>0</v>
      </c>
      <c r="P8" s="13">
        <f>SUMIF(Mercado_Receita!$S$2:$S$174,"44713A4VerdeNão se aplicaNão se aplicaNão se aplicaNão se aplicaPonta",Mercado_Receita!$L$2:$L$174)</f>
        <v>0</v>
      </c>
      <c r="Q8" s="13">
        <f>SUMIF(Mercado_Receita!$S$2:$S$174,"44743A4VerdeNão se aplicaNão se aplicaNão se aplicaNão se aplicaPonta",Mercado_Receita!$L$2:$L$174)</f>
        <v>0</v>
      </c>
      <c r="R8" s="13">
        <f>SUMIF(Mercado_Receita!$S$2:$S$174,"44774A4VerdeNão se aplicaNão se aplicaNão se aplicaNão se aplicaPonta",Mercado_Receita!$L$2:$L$174)</f>
        <v>0</v>
      </c>
      <c r="S8" s="13">
        <f>SUMIF(Mercado_Receita!$S$2:$S$174,"44805A4VerdeNão se aplicaNão se aplicaNão se aplicaNão se aplicaPonta",Mercado_Receita!$L$2:$L$174)</f>
        <v>0</v>
      </c>
      <c r="T8" s="13">
        <f>SUMIF(Mercado_Receita!$S$2:$S$174,"44835A4VerdeNão se aplicaNão se aplicaNão se aplicaNão se aplicaPonta",Mercado_Receita!$L$2:$L$174)</f>
        <v>0</v>
      </c>
      <c r="U8" s="13">
        <f t="shared" si="0"/>
        <v>0</v>
      </c>
      <c r="V8" s="13"/>
      <c r="W8" s="13"/>
    </row>
    <row r="9" spans="1:30" ht="11.25" customHeight="1" x14ac:dyDescent="0.25">
      <c r="A9" s="89"/>
      <c r="B9" s="89"/>
      <c r="C9" s="89"/>
      <c r="D9" s="89"/>
      <c r="E9" s="89"/>
      <c r="F9" s="89"/>
      <c r="G9" s="13" t="s">
        <v>62</v>
      </c>
      <c r="H9" s="13" t="s">
        <v>60</v>
      </c>
      <c r="I9" s="13">
        <f>SUMIF(Mercado_Receita!$S$2:$S$174,"44501A4VerdeNão se aplicaNão se aplicaNão se aplicaNão se aplicaFora ponta",Mercado_Receita!$L$2:$L$174)</f>
        <v>0</v>
      </c>
      <c r="J9" s="13">
        <f>SUMIF(Mercado_Receita!$S$2:$S$174,"44531A4VerdeNão se aplicaNão se aplicaNão se aplicaNão se aplicaFora ponta",Mercado_Receita!$L$2:$L$174)</f>
        <v>0</v>
      </c>
      <c r="K9" s="13">
        <f>SUMIF(Mercado_Receita!$S$2:$S$174,"44562A4VerdeNão se aplicaNão se aplicaNão se aplicaNão se aplicaFora ponta",Mercado_Receita!$L$2:$L$174)</f>
        <v>0</v>
      </c>
      <c r="L9" s="13">
        <f>SUMIF(Mercado_Receita!$S$2:$S$174,"44593A4VerdeNão se aplicaNão se aplicaNão se aplicaNão se aplicaFora ponta",Mercado_Receita!$L$2:$L$174)</f>
        <v>0</v>
      </c>
      <c r="M9" s="13">
        <f>SUMIF(Mercado_Receita!$S$2:$S$174,"44621A4VerdeNão se aplicaNão se aplicaNão se aplicaNão se aplicaFora ponta",Mercado_Receita!$L$2:$L$174)</f>
        <v>0</v>
      </c>
      <c r="N9" s="13">
        <f>SUMIF(Mercado_Receita!$S$2:$S$174,"44652A4VerdeNão se aplicaNão se aplicaNão se aplicaNão se aplicaFora ponta",Mercado_Receita!$L$2:$L$174)</f>
        <v>0</v>
      </c>
      <c r="O9" s="13">
        <f>SUMIF(Mercado_Receita!$S$2:$S$174,"44682A4VerdeNão se aplicaNão se aplicaNão se aplicaNão se aplicaFora ponta",Mercado_Receita!$L$2:$L$174)</f>
        <v>0</v>
      </c>
      <c r="P9" s="13">
        <f>SUMIF(Mercado_Receita!$S$2:$S$174,"44713A4VerdeNão se aplicaNão se aplicaNão se aplicaNão se aplicaFora ponta",Mercado_Receita!$L$2:$L$174)</f>
        <v>0</v>
      </c>
      <c r="Q9" s="13">
        <f>SUMIF(Mercado_Receita!$S$2:$S$174,"44743A4VerdeNão se aplicaNão se aplicaNão se aplicaNão se aplicaFora ponta",Mercado_Receita!$L$2:$L$174)</f>
        <v>0</v>
      </c>
      <c r="R9" s="13">
        <f>SUMIF(Mercado_Receita!$S$2:$S$174,"44774A4VerdeNão se aplicaNão se aplicaNão se aplicaNão se aplicaFora ponta",Mercado_Receita!$L$2:$L$174)</f>
        <v>0</v>
      </c>
      <c r="S9" s="13">
        <f>SUMIF(Mercado_Receita!$S$2:$S$174,"44805A4VerdeNão se aplicaNão se aplicaNão se aplicaNão se aplicaFora ponta",Mercado_Receita!$L$2:$L$174)</f>
        <v>0</v>
      </c>
      <c r="T9" s="13">
        <f>SUMIF(Mercado_Receita!$S$2:$S$174,"44835A4VerdeNão se aplicaNão se aplicaNão se aplicaNão se aplicaFora ponta",Mercado_Receita!$L$2:$L$174)</f>
        <v>0</v>
      </c>
      <c r="U9" s="13">
        <f t="shared" si="0"/>
        <v>0</v>
      </c>
      <c r="V9" s="13"/>
      <c r="W9" s="13"/>
    </row>
    <row r="10" spans="1:30" ht="11.25" customHeight="1" x14ac:dyDescent="0.25">
      <c r="A10" s="89"/>
      <c r="B10" s="89"/>
      <c r="C10" s="89"/>
      <c r="D10" s="89"/>
      <c r="E10" s="88" t="s">
        <v>68</v>
      </c>
      <c r="F10" s="88" t="s">
        <v>25</v>
      </c>
      <c r="G10" s="13" t="s">
        <v>61</v>
      </c>
      <c r="H10" s="13" t="s">
        <v>60</v>
      </c>
      <c r="I10" s="13">
        <f>SUMIF(Mercado_Receita!$S$2:$S$174,"44501A4VerdeNão se aplicaNão se aplicaAPENão se aplicaPonta",Mercado_Receita!$L$2:$L$174)</f>
        <v>0</v>
      </c>
      <c r="J10" s="13">
        <f>SUMIF(Mercado_Receita!$S$2:$S$174,"44531A4VerdeNão se aplicaNão se aplicaAPENão se aplicaPonta",Mercado_Receita!$L$2:$L$174)</f>
        <v>0</v>
      </c>
      <c r="K10" s="13">
        <f>SUMIF(Mercado_Receita!$S$2:$S$174,"44562A4VerdeNão se aplicaNão se aplicaAPENão se aplicaPonta",Mercado_Receita!$L$2:$L$174)</f>
        <v>0</v>
      </c>
      <c r="L10" s="13">
        <f>SUMIF(Mercado_Receita!$S$2:$S$174,"44593A4VerdeNão se aplicaNão se aplicaAPENão se aplicaPonta",Mercado_Receita!$L$2:$L$174)</f>
        <v>0</v>
      </c>
      <c r="M10" s="13">
        <f>SUMIF(Mercado_Receita!$S$2:$S$174,"44621A4VerdeNão se aplicaNão se aplicaAPENão se aplicaPonta",Mercado_Receita!$L$2:$L$174)</f>
        <v>0</v>
      </c>
      <c r="N10" s="13">
        <f>SUMIF(Mercado_Receita!$S$2:$S$174,"44652A4VerdeNão se aplicaNão se aplicaAPENão se aplicaPonta",Mercado_Receita!$L$2:$L$174)</f>
        <v>0</v>
      </c>
      <c r="O10" s="13">
        <f>SUMIF(Mercado_Receita!$S$2:$S$174,"44682A4VerdeNão se aplicaNão se aplicaAPENão se aplicaPonta",Mercado_Receita!$L$2:$L$174)</f>
        <v>0</v>
      </c>
      <c r="P10" s="13">
        <f>SUMIF(Mercado_Receita!$S$2:$S$174,"44713A4VerdeNão se aplicaNão se aplicaAPENão se aplicaPonta",Mercado_Receita!$L$2:$L$174)</f>
        <v>0</v>
      </c>
      <c r="Q10" s="13">
        <f>SUMIF(Mercado_Receita!$S$2:$S$174,"44743A4VerdeNão se aplicaNão se aplicaAPENão se aplicaPonta",Mercado_Receita!$L$2:$L$174)</f>
        <v>0</v>
      </c>
      <c r="R10" s="13">
        <f>SUMIF(Mercado_Receita!$S$2:$S$174,"44774A4VerdeNão se aplicaNão se aplicaAPENão se aplicaPonta",Mercado_Receita!$L$2:$L$174)</f>
        <v>0</v>
      </c>
      <c r="S10" s="13">
        <f>SUMIF(Mercado_Receita!$S$2:$S$174,"44805A4VerdeNão se aplicaNão se aplicaAPENão se aplicaPonta",Mercado_Receita!$L$2:$L$174)</f>
        <v>0</v>
      </c>
      <c r="T10" s="13">
        <f>SUMIF(Mercado_Receita!$S$2:$S$174,"44835A4VerdeNão se aplicaNão se aplicaAPENão se aplicaPonta",Mercado_Receita!$L$2:$L$174)</f>
        <v>0</v>
      </c>
      <c r="U10" s="13">
        <f t="shared" si="0"/>
        <v>0</v>
      </c>
      <c r="V10" s="13"/>
      <c r="W10" s="13"/>
    </row>
    <row r="11" spans="1:30" ht="11.25" customHeight="1" x14ac:dyDescent="0.25">
      <c r="A11" s="89"/>
      <c r="B11" s="89"/>
      <c r="C11" s="89"/>
      <c r="D11" s="89"/>
      <c r="E11" s="89"/>
      <c r="F11" s="89"/>
      <c r="G11" s="13" t="s">
        <v>62</v>
      </c>
      <c r="H11" s="13" t="s">
        <v>60</v>
      </c>
      <c r="I11" s="13">
        <f>SUMIF(Mercado_Receita!$S$2:$S$174,"44501A4VerdeNão se aplicaNão se aplicaAPENão se aplicaFora ponta",Mercado_Receita!$L$2:$L$174)</f>
        <v>0</v>
      </c>
      <c r="J11" s="13">
        <f>SUMIF(Mercado_Receita!$S$2:$S$174,"44531A4VerdeNão se aplicaNão se aplicaAPENão se aplicaFora ponta",Mercado_Receita!$L$2:$L$174)</f>
        <v>0</v>
      </c>
      <c r="K11" s="13">
        <f>SUMIF(Mercado_Receita!$S$2:$S$174,"44562A4VerdeNão se aplicaNão se aplicaAPENão se aplicaFora ponta",Mercado_Receita!$L$2:$L$174)</f>
        <v>0</v>
      </c>
      <c r="L11" s="13">
        <f>SUMIF(Mercado_Receita!$S$2:$S$174,"44593A4VerdeNão se aplicaNão se aplicaAPENão se aplicaFora ponta",Mercado_Receita!$L$2:$L$174)</f>
        <v>0</v>
      </c>
      <c r="M11" s="13">
        <f>SUMIF(Mercado_Receita!$S$2:$S$174,"44621A4VerdeNão se aplicaNão se aplicaAPENão se aplicaFora ponta",Mercado_Receita!$L$2:$L$174)</f>
        <v>0</v>
      </c>
      <c r="N11" s="13">
        <f>SUMIF(Mercado_Receita!$S$2:$S$174,"44652A4VerdeNão se aplicaNão se aplicaAPENão se aplicaFora ponta",Mercado_Receita!$L$2:$L$174)</f>
        <v>0</v>
      </c>
      <c r="O11" s="13">
        <f>SUMIF(Mercado_Receita!$S$2:$S$174,"44682A4VerdeNão se aplicaNão se aplicaAPENão se aplicaFora ponta",Mercado_Receita!$L$2:$L$174)</f>
        <v>0</v>
      </c>
      <c r="P11" s="13">
        <f>SUMIF(Mercado_Receita!$S$2:$S$174,"44713A4VerdeNão se aplicaNão se aplicaAPENão se aplicaFora ponta",Mercado_Receita!$L$2:$L$174)</f>
        <v>0</v>
      </c>
      <c r="Q11" s="13">
        <f>SUMIF(Mercado_Receita!$S$2:$S$174,"44743A4VerdeNão se aplicaNão se aplicaAPENão se aplicaFora ponta",Mercado_Receita!$L$2:$L$174)</f>
        <v>0</v>
      </c>
      <c r="R11" s="13">
        <f>SUMIF(Mercado_Receita!$S$2:$S$174,"44774A4VerdeNão se aplicaNão se aplicaAPENão se aplicaFora ponta",Mercado_Receita!$L$2:$L$174)</f>
        <v>0</v>
      </c>
      <c r="S11" s="13">
        <f>SUMIF(Mercado_Receita!$S$2:$S$174,"44805A4VerdeNão se aplicaNão se aplicaAPENão se aplicaFora ponta",Mercado_Receita!$L$2:$L$174)</f>
        <v>0</v>
      </c>
      <c r="T11" s="13">
        <f>SUMIF(Mercado_Receita!$S$2:$S$174,"44835A4VerdeNão se aplicaNão se aplicaAPENão se aplicaFora ponta",Mercado_Receita!$L$2:$L$174)</f>
        <v>0</v>
      </c>
      <c r="U11" s="13">
        <f t="shared" si="0"/>
        <v>0</v>
      </c>
      <c r="V11" s="13"/>
      <c r="W11" s="13"/>
    </row>
    <row r="12" spans="1:30" ht="11.25" customHeight="1" x14ac:dyDescent="0.25">
      <c r="A12" s="88" t="s">
        <v>71</v>
      </c>
      <c r="B12" s="88" t="s">
        <v>69</v>
      </c>
      <c r="C12" s="88" t="s">
        <v>25</v>
      </c>
      <c r="D12" s="88" t="s">
        <v>25</v>
      </c>
      <c r="E12" s="12" t="s">
        <v>72</v>
      </c>
      <c r="F12" s="12" t="s">
        <v>25</v>
      </c>
      <c r="G12" s="13" t="s">
        <v>9</v>
      </c>
      <c r="H12" s="13" t="s">
        <v>64</v>
      </c>
      <c r="I12" s="13">
        <f>SUMIF(Mercado_Receita!$S$2:$S$174,"44501BGeraçãoNão se aplicaNão se aplicaTIPO 01Não se aplicaNão se aplica",Mercado_Receita!$J$2:$J$174)+SUMIF(Mercado_Receita!$S$2:$S$174,"44501BGeraçãoNão se aplicaNão se aplicaAPENão se aplicaNão se aplica",Mercado_Receita!$J$2:$J$174)</f>
        <v>0</v>
      </c>
      <c r="J12" s="13">
        <f>SUMIF(Mercado_Receita!$S$2:$S$174,"44531BGeraçãoNão se aplicaNão se aplicaTIPO 01Não se aplicaNão se aplica",Mercado_Receita!$J$2:$J$174)+SUMIF(Mercado_Receita!$S$2:$S$174,"44531BGeraçãoNão se aplicaNão se aplicaAPENão se aplicaNão se aplica",Mercado_Receita!$J$2:$J$174)</f>
        <v>0</v>
      </c>
      <c r="K12" s="13">
        <f>SUMIF(Mercado_Receita!$S$2:$S$174,"44562BGeraçãoNão se aplicaNão se aplicaTIPO 01Não se aplicaNão se aplica",Mercado_Receita!$J$2:$J$174)+SUMIF(Mercado_Receita!$S$2:$S$174,"44562BGeraçãoNão se aplicaNão se aplicaAPENão se aplicaNão se aplica",Mercado_Receita!$J$2:$J$174)</f>
        <v>0</v>
      </c>
      <c r="L12" s="13">
        <f>SUMIF(Mercado_Receita!$S$2:$S$174,"44593BGeraçãoNão se aplicaNão se aplicaTIPO 01Não se aplicaNão se aplica",Mercado_Receita!$J$2:$J$174)+SUMIF(Mercado_Receita!$S$2:$S$174,"44593BGeraçãoNão se aplicaNão se aplicaAPENão se aplicaNão se aplica",Mercado_Receita!$J$2:$J$174)</f>
        <v>0</v>
      </c>
      <c r="M12" s="13">
        <f>SUMIF(Mercado_Receita!$S$2:$S$174,"44621BGeraçãoNão se aplicaNão se aplicaTIPO 01Não se aplicaNão se aplica",Mercado_Receita!$J$2:$J$174)+SUMIF(Mercado_Receita!$S$2:$S$174,"44621BGeraçãoNão se aplicaNão se aplicaAPENão se aplicaNão se aplica",Mercado_Receita!$J$2:$J$174)</f>
        <v>0</v>
      </c>
      <c r="N12" s="13">
        <f>SUMIF(Mercado_Receita!$S$2:$S$174,"44652BGeraçãoNão se aplicaNão se aplicaTIPO 01Não se aplicaNão se aplica",Mercado_Receita!$J$2:$J$174)+SUMIF(Mercado_Receita!$S$2:$S$174,"44652BGeraçãoNão se aplicaNão se aplicaAPENão se aplicaNão se aplica",Mercado_Receita!$J$2:$J$174)</f>
        <v>0</v>
      </c>
      <c r="O12" s="13">
        <f>SUMIF(Mercado_Receita!$S$2:$S$174,"44682BGeraçãoNão se aplicaNão se aplicaTIPO 01Não se aplicaNão se aplica",Mercado_Receita!$J$2:$J$174)+SUMIF(Mercado_Receita!$S$2:$S$174,"44682BGeraçãoNão se aplicaNão se aplicaAPENão se aplicaNão se aplica",Mercado_Receita!$J$2:$J$174)</f>
        <v>0</v>
      </c>
      <c r="P12" s="13">
        <f>SUMIF(Mercado_Receita!$S$2:$S$174,"44713BGeraçãoNão se aplicaNão se aplicaTIPO 01Não se aplicaNão se aplica",Mercado_Receita!$J$2:$J$174)+SUMIF(Mercado_Receita!$S$2:$S$174,"44713BGeraçãoNão se aplicaNão se aplicaAPENão se aplicaNão se aplica",Mercado_Receita!$J$2:$J$174)</f>
        <v>0</v>
      </c>
      <c r="Q12" s="13">
        <f>SUMIF(Mercado_Receita!$S$2:$S$174,"44743BGeraçãoNão se aplicaNão se aplicaTIPO 01Não se aplicaNão se aplica",Mercado_Receita!$J$2:$J$174)+SUMIF(Mercado_Receita!$S$2:$S$174,"44743BGeraçãoNão se aplicaNão se aplicaAPENão se aplicaNão se aplica",Mercado_Receita!$J$2:$J$174)</f>
        <v>0</v>
      </c>
      <c r="R12" s="13">
        <f>SUMIF(Mercado_Receita!$S$2:$S$174,"44774BGeraçãoNão se aplicaNão se aplicaTIPO 01Não se aplicaNão se aplica",Mercado_Receita!$J$2:$J$174)+SUMIF(Mercado_Receita!$S$2:$S$174,"44774BGeraçãoNão se aplicaNão se aplicaAPENão se aplicaNão se aplica",Mercado_Receita!$J$2:$J$174)</f>
        <v>0</v>
      </c>
      <c r="S12" s="13">
        <f>SUMIF(Mercado_Receita!$S$2:$S$174,"44805BGeraçãoNão se aplicaNão se aplicaTIPO 01Não se aplicaNão se aplica",Mercado_Receita!$J$2:$J$174)+SUMIF(Mercado_Receita!$S$2:$S$174,"44805BGeraçãoNão se aplicaNão se aplicaAPENão se aplicaNão se aplica",Mercado_Receita!$J$2:$J$174)</f>
        <v>0</v>
      </c>
      <c r="T12" s="13">
        <f>SUMIF(Mercado_Receita!$S$2:$S$174,"44835BGeraçãoNão se aplicaNão se aplicaTIPO 01Não se aplicaNão se aplica",Mercado_Receita!$J$2:$J$174)+SUMIF(Mercado_Receita!$S$2:$S$174,"44835BGeraçãoNão se aplicaNão se aplicaAPENão se aplicaNão se aplica",Mercado_Receita!$J$2:$J$174)</f>
        <v>0</v>
      </c>
      <c r="U12" s="13">
        <f t="shared" si="0"/>
        <v>0</v>
      </c>
      <c r="V12" s="13"/>
      <c r="W12" s="13"/>
    </row>
    <row r="13" spans="1:30" ht="11.25" customHeight="1" x14ac:dyDescent="0.25">
      <c r="A13" s="89"/>
      <c r="B13" s="89"/>
      <c r="C13" s="89"/>
      <c r="D13" s="89"/>
      <c r="E13" s="12" t="s">
        <v>73</v>
      </c>
      <c r="F13" s="12" t="s">
        <v>25</v>
      </c>
      <c r="G13" s="13" t="s">
        <v>9</v>
      </c>
      <c r="H13" s="13" t="s">
        <v>64</v>
      </c>
      <c r="I13" s="13">
        <f>SUMIF(Mercado_Receita!$S$2:$S$174,"44501BGeraçãoNão se aplicaNão se aplicaTIPO 02Não se aplicaNão se aplica",Mercado_Receita!$J$2:$J$174)+SUMIF(Mercado_Receita!$S$2:$S$174,"44501BGeraçãoNão se aplicaNão se aplicaAPENão se aplicaNão se aplica",Mercado_Receita!$J$2:$J$174)</f>
        <v>0</v>
      </c>
      <c r="J13" s="13">
        <f>SUMIF(Mercado_Receita!$S$2:$S$174,"44531BGeraçãoNão se aplicaNão se aplicaTIPO 02Não se aplicaNão se aplica",Mercado_Receita!$J$2:$J$174)+SUMIF(Mercado_Receita!$S$2:$S$174,"44531BGeraçãoNão se aplicaNão se aplicaAPENão se aplicaNão se aplica",Mercado_Receita!$J$2:$J$174)</f>
        <v>0</v>
      </c>
      <c r="K13" s="13">
        <f>SUMIF(Mercado_Receita!$S$2:$S$174,"44562BGeraçãoNão se aplicaNão se aplicaTIPO 02Não se aplicaNão se aplica",Mercado_Receita!$J$2:$J$174)+SUMIF(Mercado_Receita!$S$2:$S$174,"44562BGeraçãoNão se aplicaNão se aplicaAPENão se aplicaNão se aplica",Mercado_Receita!$J$2:$J$174)</f>
        <v>0</v>
      </c>
      <c r="L13" s="13">
        <f>SUMIF(Mercado_Receita!$S$2:$S$174,"44593BGeraçãoNão se aplicaNão se aplicaTIPO 02Não se aplicaNão se aplica",Mercado_Receita!$J$2:$J$174)+SUMIF(Mercado_Receita!$S$2:$S$174,"44593BGeraçãoNão se aplicaNão se aplicaAPENão se aplicaNão se aplica",Mercado_Receita!$J$2:$J$174)</f>
        <v>0</v>
      </c>
      <c r="M13" s="13">
        <f>SUMIF(Mercado_Receita!$S$2:$S$174,"44621BGeraçãoNão se aplicaNão se aplicaTIPO 02Não se aplicaNão se aplica",Mercado_Receita!$J$2:$J$174)+SUMIF(Mercado_Receita!$S$2:$S$174,"44621BGeraçãoNão se aplicaNão se aplicaAPENão se aplicaNão se aplica",Mercado_Receita!$J$2:$J$174)</f>
        <v>0</v>
      </c>
      <c r="N13" s="13">
        <f>SUMIF(Mercado_Receita!$S$2:$S$174,"44652BGeraçãoNão se aplicaNão se aplicaTIPO 02Não se aplicaNão se aplica",Mercado_Receita!$J$2:$J$174)+SUMIF(Mercado_Receita!$S$2:$S$174,"44652BGeraçãoNão se aplicaNão se aplicaAPENão se aplicaNão se aplica",Mercado_Receita!$J$2:$J$174)</f>
        <v>0</v>
      </c>
      <c r="O13" s="13">
        <f>SUMIF(Mercado_Receita!$S$2:$S$174,"44682BGeraçãoNão se aplicaNão se aplicaTIPO 02Não se aplicaNão se aplica",Mercado_Receita!$J$2:$J$174)+SUMIF(Mercado_Receita!$S$2:$S$174,"44682BGeraçãoNão se aplicaNão se aplicaAPENão se aplicaNão se aplica",Mercado_Receita!$J$2:$J$174)</f>
        <v>0</v>
      </c>
      <c r="P13" s="13">
        <f>SUMIF(Mercado_Receita!$S$2:$S$174,"44713BGeraçãoNão se aplicaNão se aplicaTIPO 02Não se aplicaNão se aplica",Mercado_Receita!$J$2:$J$174)+SUMIF(Mercado_Receita!$S$2:$S$174,"44713BGeraçãoNão se aplicaNão se aplicaAPENão se aplicaNão se aplica",Mercado_Receita!$J$2:$J$174)</f>
        <v>0</v>
      </c>
      <c r="Q13" s="13">
        <f>SUMIF(Mercado_Receita!$S$2:$S$174,"44743BGeraçãoNão se aplicaNão se aplicaTIPO 02Não se aplicaNão se aplica",Mercado_Receita!$J$2:$J$174)+SUMIF(Mercado_Receita!$S$2:$S$174,"44743BGeraçãoNão se aplicaNão se aplicaAPENão se aplicaNão se aplica",Mercado_Receita!$J$2:$J$174)</f>
        <v>0</v>
      </c>
      <c r="R13" s="13">
        <f>SUMIF(Mercado_Receita!$S$2:$S$174,"44774BGeraçãoNão se aplicaNão se aplicaTIPO 02Não se aplicaNão se aplica",Mercado_Receita!$J$2:$J$174)+SUMIF(Mercado_Receita!$S$2:$S$174,"44774BGeraçãoNão se aplicaNão se aplicaAPENão se aplicaNão se aplica",Mercado_Receita!$J$2:$J$174)</f>
        <v>0</v>
      </c>
      <c r="S13" s="13">
        <f>SUMIF(Mercado_Receita!$S$2:$S$174,"44805BGeraçãoNão se aplicaNão se aplicaTIPO 02Não se aplicaNão se aplica",Mercado_Receita!$J$2:$J$174)+SUMIF(Mercado_Receita!$S$2:$S$174,"44805BGeraçãoNão se aplicaNão se aplicaAPENão se aplicaNão se aplica",Mercado_Receita!$J$2:$J$174)</f>
        <v>0</v>
      </c>
      <c r="T13" s="13">
        <f>SUMIF(Mercado_Receita!$S$2:$S$174,"44835BGeraçãoNão se aplicaNão se aplicaTIPO 02Não se aplicaNão se aplica",Mercado_Receita!$J$2:$J$174)+SUMIF(Mercado_Receita!$S$2:$S$174,"44835BGeraçãoNão se aplicaNão se aplicaAPENão se aplicaNão se aplica",Mercado_Receita!$J$2:$J$174)</f>
        <v>0</v>
      </c>
      <c r="U13" s="13">
        <f t="shared" si="0"/>
        <v>0</v>
      </c>
      <c r="V13" s="13"/>
      <c r="W13" s="13"/>
    </row>
    <row r="14" spans="1:30" ht="11.25" customHeight="1" x14ac:dyDescent="0.25">
      <c r="A14" s="88" t="s">
        <v>22</v>
      </c>
      <c r="B14" s="88" t="s">
        <v>76</v>
      </c>
      <c r="C14" s="88" t="s">
        <v>24</v>
      </c>
      <c r="D14" s="88" t="s">
        <v>24</v>
      </c>
      <c r="E14" s="88" t="s">
        <v>25</v>
      </c>
      <c r="F14" s="88" t="s">
        <v>25</v>
      </c>
      <c r="G14" s="13" t="s">
        <v>61</v>
      </c>
      <c r="H14" s="13" t="s">
        <v>60</v>
      </c>
      <c r="I14" s="13">
        <f>SUMIF(Mercado_Receita!$S$2:$S$174,"44501B1BrancaResidencialResidencialNão se aplicaNão se aplicaPonta",Mercado_Receita!$L$2:$L$174)</f>
        <v>0</v>
      </c>
      <c r="J14" s="13">
        <f>SUMIF(Mercado_Receita!$S$2:$S$174,"44531B1BrancaResidencialResidencialNão se aplicaNão se aplicaPonta",Mercado_Receita!$L$2:$L$174)</f>
        <v>0</v>
      </c>
      <c r="K14" s="13">
        <f>SUMIF(Mercado_Receita!$S$2:$S$174,"44562B1BrancaResidencialResidencialNão se aplicaNão se aplicaPonta",Mercado_Receita!$L$2:$L$174)</f>
        <v>0</v>
      </c>
      <c r="L14" s="13">
        <f>SUMIF(Mercado_Receita!$S$2:$S$174,"44593B1BrancaResidencialResidencialNão se aplicaNão se aplicaPonta",Mercado_Receita!$L$2:$L$174)</f>
        <v>0</v>
      </c>
      <c r="M14" s="13">
        <f>SUMIF(Mercado_Receita!$S$2:$S$174,"44621B1BrancaResidencialResidencialNão se aplicaNão se aplicaPonta",Mercado_Receita!$L$2:$L$174)</f>
        <v>0</v>
      </c>
      <c r="N14" s="13">
        <f>SUMIF(Mercado_Receita!$S$2:$S$174,"44652B1BrancaResidencialResidencialNão se aplicaNão se aplicaPonta",Mercado_Receita!$L$2:$L$174)</f>
        <v>0</v>
      </c>
      <c r="O14" s="13">
        <f>SUMIF(Mercado_Receita!$S$2:$S$174,"44682B1BrancaResidencialResidencialNão se aplicaNão se aplicaPonta",Mercado_Receita!$L$2:$L$174)</f>
        <v>0</v>
      </c>
      <c r="P14" s="13">
        <f>SUMIF(Mercado_Receita!$S$2:$S$174,"44713B1BrancaResidencialResidencialNão se aplicaNão se aplicaPonta",Mercado_Receita!$L$2:$L$174)</f>
        <v>0</v>
      </c>
      <c r="Q14" s="13">
        <f>SUMIF(Mercado_Receita!$S$2:$S$174,"44743B1BrancaResidencialResidencialNão se aplicaNão se aplicaPonta",Mercado_Receita!$L$2:$L$174)</f>
        <v>0</v>
      </c>
      <c r="R14" s="13">
        <f>SUMIF(Mercado_Receita!$S$2:$S$174,"44774B1BrancaResidencialResidencialNão se aplicaNão se aplicaPonta",Mercado_Receita!$L$2:$L$174)</f>
        <v>0</v>
      </c>
      <c r="S14" s="13">
        <f>SUMIF(Mercado_Receita!$S$2:$S$174,"44805B1BrancaResidencialResidencialNão se aplicaNão se aplicaPonta",Mercado_Receita!$L$2:$L$174)</f>
        <v>0</v>
      </c>
      <c r="T14" s="13">
        <f>SUMIF(Mercado_Receita!$S$2:$S$174,"44835B1BrancaResidencialResidencialNão se aplicaNão se aplicaPonta",Mercado_Receita!$L$2:$L$174)</f>
        <v>0</v>
      </c>
      <c r="U14" s="13">
        <f t="shared" si="0"/>
        <v>0</v>
      </c>
      <c r="V14" s="13"/>
      <c r="W14" s="13"/>
    </row>
    <row r="15" spans="1:30" ht="11.25" customHeight="1" x14ac:dyDescent="0.25">
      <c r="A15" s="89"/>
      <c r="B15" s="89"/>
      <c r="C15" s="89"/>
      <c r="D15" s="89"/>
      <c r="E15" s="89"/>
      <c r="F15" s="89"/>
      <c r="G15" s="13" t="s">
        <v>74</v>
      </c>
      <c r="H15" s="13" t="s">
        <v>60</v>
      </c>
      <c r="I15" s="13">
        <f>SUMIF(Mercado_Receita!$S$2:$S$174,"44501B1BrancaResidencialResidencialNão se aplicaNão se aplicaIntermediário",Mercado_Receita!$L$2:$L$174)</f>
        <v>0</v>
      </c>
      <c r="J15" s="13">
        <f>SUMIF(Mercado_Receita!$S$2:$S$174,"44531B1BrancaResidencialResidencialNão se aplicaNão se aplicaIntermediário",Mercado_Receita!$L$2:$L$174)</f>
        <v>0</v>
      </c>
      <c r="K15" s="13">
        <f>SUMIF(Mercado_Receita!$S$2:$S$174,"44562B1BrancaResidencialResidencialNão se aplicaNão se aplicaIntermediário",Mercado_Receita!$L$2:$L$174)</f>
        <v>0</v>
      </c>
      <c r="L15" s="13">
        <f>SUMIF(Mercado_Receita!$S$2:$S$174,"44593B1BrancaResidencialResidencialNão se aplicaNão se aplicaIntermediário",Mercado_Receita!$L$2:$L$174)</f>
        <v>0</v>
      </c>
      <c r="M15" s="13">
        <f>SUMIF(Mercado_Receita!$S$2:$S$174,"44621B1BrancaResidencialResidencialNão se aplicaNão se aplicaIntermediário",Mercado_Receita!$L$2:$L$174)</f>
        <v>0</v>
      </c>
      <c r="N15" s="13">
        <f>SUMIF(Mercado_Receita!$S$2:$S$174,"44652B1BrancaResidencialResidencialNão se aplicaNão se aplicaIntermediário",Mercado_Receita!$L$2:$L$174)</f>
        <v>0</v>
      </c>
      <c r="O15" s="13">
        <f>SUMIF(Mercado_Receita!$S$2:$S$174,"44682B1BrancaResidencialResidencialNão se aplicaNão se aplicaIntermediário",Mercado_Receita!$L$2:$L$174)</f>
        <v>0</v>
      </c>
      <c r="P15" s="13">
        <f>SUMIF(Mercado_Receita!$S$2:$S$174,"44713B1BrancaResidencialResidencialNão se aplicaNão se aplicaIntermediário",Mercado_Receita!$L$2:$L$174)</f>
        <v>0</v>
      </c>
      <c r="Q15" s="13">
        <f>SUMIF(Mercado_Receita!$S$2:$S$174,"44743B1BrancaResidencialResidencialNão se aplicaNão se aplicaIntermediário",Mercado_Receita!$L$2:$L$174)</f>
        <v>0</v>
      </c>
      <c r="R15" s="13">
        <f>SUMIF(Mercado_Receita!$S$2:$S$174,"44774B1BrancaResidencialResidencialNão se aplicaNão se aplicaIntermediário",Mercado_Receita!$L$2:$L$174)</f>
        <v>0</v>
      </c>
      <c r="S15" s="13">
        <f>SUMIF(Mercado_Receita!$S$2:$S$174,"44805B1BrancaResidencialResidencialNão se aplicaNão se aplicaIntermediário",Mercado_Receita!$L$2:$L$174)</f>
        <v>0</v>
      </c>
      <c r="T15" s="13">
        <f>SUMIF(Mercado_Receita!$S$2:$S$174,"44835B1BrancaResidencialResidencialNão se aplicaNão se aplicaIntermediário",Mercado_Receita!$L$2:$L$174)</f>
        <v>0</v>
      </c>
      <c r="U15" s="13">
        <f t="shared" si="0"/>
        <v>0</v>
      </c>
      <c r="V15" s="13"/>
      <c r="W15" s="13"/>
    </row>
    <row r="16" spans="1:30" ht="11.25" customHeight="1" x14ac:dyDescent="0.25">
      <c r="A16" s="89"/>
      <c r="B16" s="89"/>
      <c r="C16" s="89"/>
      <c r="D16" s="89"/>
      <c r="E16" s="89"/>
      <c r="F16" s="89"/>
      <c r="G16" s="13" t="s">
        <v>62</v>
      </c>
      <c r="H16" s="13" t="s">
        <v>60</v>
      </c>
      <c r="I16" s="13">
        <f>SUMIF(Mercado_Receita!$S$2:$S$174,"44501B1BrancaResidencialResidencialNão se aplicaNão se aplicaFora ponta",Mercado_Receita!$L$2:$L$174)</f>
        <v>0</v>
      </c>
      <c r="J16" s="13">
        <f>SUMIF(Mercado_Receita!$S$2:$S$174,"44531B1BrancaResidencialResidencialNão se aplicaNão se aplicaFora ponta",Mercado_Receita!$L$2:$L$174)</f>
        <v>0</v>
      </c>
      <c r="K16" s="13">
        <f>SUMIF(Mercado_Receita!$S$2:$S$174,"44562B1BrancaResidencialResidencialNão se aplicaNão se aplicaFora ponta",Mercado_Receita!$L$2:$L$174)</f>
        <v>0</v>
      </c>
      <c r="L16" s="13">
        <f>SUMIF(Mercado_Receita!$S$2:$S$174,"44593B1BrancaResidencialResidencialNão se aplicaNão se aplicaFora ponta",Mercado_Receita!$L$2:$L$174)</f>
        <v>0</v>
      </c>
      <c r="M16" s="13">
        <f>SUMIF(Mercado_Receita!$S$2:$S$174,"44621B1BrancaResidencialResidencialNão se aplicaNão se aplicaFora ponta",Mercado_Receita!$L$2:$L$174)</f>
        <v>0</v>
      </c>
      <c r="N16" s="13">
        <f>SUMIF(Mercado_Receita!$S$2:$S$174,"44652B1BrancaResidencialResidencialNão se aplicaNão se aplicaFora ponta",Mercado_Receita!$L$2:$L$174)</f>
        <v>0</v>
      </c>
      <c r="O16" s="13">
        <f>SUMIF(Mercado_Receita!$S$2:$S$174,"44682B1BrancaResidencialResidencialNão se aplicaNão se aplicaFora ponta",Mercado_Receita!$L$2:$L$174)</f>
        <v>0</v>
      </c>
      <c r="P16" s="13">
        <f>SUMIF(Mercado_Receita!$S$2:$S$174,"44713B1BrancaResidencialResidencialNão se aplicaNão se aplicaFora ponta",Mercado_Receita!$L$2:$L$174)</f>
        <v>0</v>
      </c>
      <c r="Q16" s="13">
        <f>SUMIF(Mercado_Receita!$S$2:$S$174,"44743B1BrancaResidencialResidencialNão se aplicaNão se aplicaFora ponta",Mercado_Receita!$L$2:$L$174)</f>
        <v>0</v>
      </c>
      <c r="R16" s="13">
        <f>SUMIF(Mercado_Receita!$S$2:$S$174,"44774B1BrancaResidencialResidencialNão se aplicaNão se aplicaFora ponta",Mercado_Receita!$L$2:$L$174)</f>
        <v>0</v>
      </c>
      <c r="S16" s="13">
        <f>SUMIF(Mercado_Receita!$S$2:$S$174,"44805B1BrancaResidencialResidencialNão se aplicaNão se aplicaFora ponta",Mercado_Receita!$L$2:$L$174)</f>
        <v>0</v>
      </c>
      <c r="T16" s="13">
        <f>SUMIF(Mercado_Receita!$S$2:$S$174,"44835B1BrancaResidencialResidencialNão se aplicaNão se aplicaFora ponta",Mercado_Receita!$L$2:$L$174)</f>
        <v>0</v>
      </c>
      <c r="U16" s="13">
        <f t="shared" si="0"/>
        <v>0</v>
      </c>
      <c r="V16" s="13"/>
      <c r="W16" s="13"/>
    </row>
    <row r="17" spans="1:23" ht="11.25" customHeight="1" x14ac:dyDescent="0.25">
      <c r="A17" s="89"/>
      <c r="B17" s="88" t="s">
        <v>23</v>
      </c>
      <c r="C17" s="88" t="s">
        <v>24</v>
      </c>
      <c r="D17" s="12" t="s">
        <v>24</v>
      </c>
      <c r="E17" s="12" t="s">
        <v>25</v>
      </c>
      <c r="F17" s="12" t="s">
        <v>25</v>
      </c>
      <c r="G17" s="13" t="s">
        <v>67</v>
      </c>
      <c r="H17" s="13" t="s">
        <v>60</v>
      </c>
      <c r="I17" s="13">
        <f>SUMIF(Mercado_Receita!$S$2:$S$174,"44501B1ConvencionalResidencialResidencialNão se aplicaNão se aplicaPonta",Mercado_Receita!$L$2:$L$174)+SUMIF(Mercado_Receita!$S$2:$S$174,"44501B1ConvencionalResidencialResidencialNão se aplicaNão se aplicaFora ponta",Mercado_Receita!$L$2:$L$174)+SUMIF(Mercado_Receita!$S$2:$S$174,"44501B1ConvencionalResidencialResidencialNão se aplicaNão se aplicaIntermediário",Mercado_Receita!$L$2:$L$174)+SUMIF(Mercado_Receita!$S$2:$S$174,"44501B1ConvencionalResidencialResidencialNão se aplicaNão se aplicaNão se aplica",Mercado_Receita!$L$2:$L$174)</f>
        <v>267.209</v>
      </c>
      <c r="J17" s="13">
        <f>SUMIF(Mercado_Receita!$S$2:$S$174,"44531B1ConvencionalResidencialResidencialNão se aplicaNão se aplicaPonta",Mercado_Receita!$L$2:$L$174)+SUMIF(Mercado_Receita!$S$2:$S$174,"44531B1ConvencionalResidencialResidencialNão se aplicaNão se aplicaFora ponta",Mercado_Receita!$L$2:$L$174)+SUMIF(Mercado_Receita!$S$2:$S$174,"44531B1ConvencionalResidencialResidencialNão se aplicaNão se aplicaIntermediário",Mercado_Receita!$L$2:$L$174)+SUMIF(Mercado_Receita!$S$2:$S$174,"44531B1ConvencionalResidencialResidencialNão se aplicaNão se aplicaNão se aplica",Mercado_Receita!$L$2:$L$174)</f>
        <v>259.39800000000002</v>
      </c>
      <c r="K17" s="13">
        <f>SUMIF(Mercado_Receita!$S$2:$S$174,"44562B1ConvencionalResidencialResidencialNão se aplicaNão se aplicaPonta",Mercado_Receita!$L$2:$L$174)+SUMIF(Mercado_Receita!$S$2:$S$174,"44562B1ConvencionalResidencialResidencialNão se aplicaNão se aplicaFora ponta",Mercado_Receita!$L$2:$L$174)+SUMIF(Mercado_Receita!$S$2:$S$174,"44562B1ConvencionalResidencialResidencialNão se aplicaNão se aplicaIntermediário",Mercado_Receita!$L$2:$L$174)+SUMIF(Mercado_Receita!$S$2:$S$174,"44562B1ConvencionalResidencialResidencialNão se aplicaNão se aplicaNão se aplica",Mercado_Receita!$L$2:$L$174)</f>
        <v>290.99199999999996</v>
      </c>
      <c r="L17" s="13">
        <f>SUMIF(Mercado_Receita!$S$2:$S$174,"44593B1ConvencionalResidencialResidencialNão se aplicaNão se aplicaPonta",Mercado_Receita!$L$2:$L$174)+SUMIF(Mercado_Receita!$S$2:$S$174,"44593B1ConvencionalResidencialResidencialNão se aplicaNão se aplicaFora ponta",Mercado_Receita!$L$2:$L$174)+SUMIF(Mercado_Receita!$S$2:$S$174,"44593B1ConvencionalResidencialResidencialNão se aplicaNão se aplicaIntermediário",Mercado_Receita!$L$2:$L$174)+SUMIF(Mercado_Receita!$S$2:$S$174,"44593B1ConvencionalResidencialResidencialNão se aplicaNão se aplicaNão se aplica",Mercado_Receita!$L$2:$L$174)</f>
        <v>309.90499999999997</v>
      </c>
      <c r="M17" s="13">
        <f>SUMIF(Mercado_Receita!$S$2:$S$174,"44621B1ConvencionalResidencialResidencialNão se aplicaNão se aplicaPonta",Mercado_Receita!$L$2:$L$174)+SUMIF(Mercado_Receita!$S$2:$S$174,"44621B1ConvencionalResidencialResidencialNão se aplicaNão se aplicaFora ponta",Mercado_Receita!$L$2:$L$174)+SUMIF(Mercado_Receita!$S$2:$S$174,"44621B1ConvencionalResidencialResidencialNão se aplicaNão se aplicaIntermediário",Mercado_Receita!$L$2:$L$174)+SUMIF(Mercado_Receita!$S$2:$S$174,"44621B1ConvencionalResidencialResidencialNão se aplicaNão se aplicaNão se aplica",Mercado_Receita!$L$2:$L$174)</f>
        <v>298.60899999999998</v>
      </c>
      <c r="N17" s="13">
        <f>SUMIF(Mercado_Receita!$S$2:$S$174,"44652B1ConvencionalResidencialResidencialNão se aplicaNão se aplicaPonta",Mercado_Receita!$L$2:$L$174)+SUMIF(Mercado_Receita!$S$2:$S$174,"44652B1ConvencionalResidencialResidencialNão se aplicaNão se aplicaFora ponta",Mercado_Receita!$L$2:$L$174)+SUMIF(Mercado_Receita!$S$2:$S$174,"44652B1ConvencionalResidencialResidencialNão se aplicaNão se aplicaIntermediário",Mercado_Receita!$L$2:$L$174)+SUMIF(Mercado_Receita!$S$2:$S$174,"44652B1ConvencionalResidencialResidencialNão se aplicaNão se aplicaNão se aplica",Mercado_Receita!$L$2:$L$174)</f>
        <v>278.64999999999998</v>
      </c>
      <c r="O17" s="13">
        <f>SUMIF(Mercado_Receita!$S$2:$S$174,"44682B1ConvencionalResidencialResidencialNão se aplicaNão se aplicaPonta",Mercado_Receita!$L$2:$L$174)+SUMIF(Mercado_Receita!$S$2:$S$174,"44682B1ConvencionalResidencialResidencialNão se aplicaNão se aplicaFora ponta",Mercado_Receita!$L$2:$L$174)+SUMIF(Mercado_Receita!$S$2:$S$174,"44682B1ConvencionalResidencialResidencialNão se aplicaNão se aplicaIntermediário",Mercado_Receita!$L$2:$L$174)+SUMIF(Mercado_Receita!$S$2:$S$174,"44682B1ConvencionalResidencialResidencialNão se aplicaNão se aplicaNão se aplica",Mercado_Receita!$L$2:$L$174)</f>
        <v>273.53800000000001</v>
      </c>
      <c r="P17" s="13">
        <f>SUMIF(Mercado_Receita!$S$2:$S$174,"44713B1ConvencionalResidencialResidencialNão se aplicaNão se aplicaPonta",Mercado_Receita!$L$2:$L$174)+SUMIF(Mercado_Receita!$S$2:$S$174,"44713B1ConvencionalResidencialResidencialNão se aplicaNão se aplicaFora ponta",Mercado_Receita!$L$2:$L$174)+SUMIF(Mercado_Receita!$S$2:$S$174,"44713B1ConvencionalResidencialResidencialNão se aplicaNão se aplicaIntermediário",Mercado_Receita!$L$2:$L$174)+SUMIF(Mercado_Receita!$S$2:$S$174,"44713B1ConvencionalResidencialResidencialNão se aplicaNão se aplicaNão se aplica",Mercado_Receita!$L$2:$L$174)</f>
        <v>295.46500000000003</v>
      </c>
      <c r="Q17" s="13">
        <f>SUMIF(Mercado_Receita!$S$2:$S$174,"44743B1ConvencionalResidencialResidencialNão se aplicaNão se aplicaPonta",Mercado_Receita!$L$2:$L$174)+SUMIF(Mercado_Receita!$S$2:$S$174,"44743B1ConvencionalResidencialResidencialNão se aplicaNão se aplicaFora ponta",Mercado_Receita!$L$2:$L$174)+SUMIF(Mercado_Receita!$S$2:$S$174,"44743B1ConvencionalResidencialResidencialNão se aplicaNão se aplicaIntermediário",Mercado_Receita!$L$2:$L$174)+SUMIF(Mercado_Receita!$S$2:$S$174,"44743B1ConvencionalResidencialResidencialNão se aplicaNão se aplicaNão se aplica",Mercado_Receita!$L$2:$L$174)</f>
        <v>293.67199999999997</v>
      </c>
      <c r="R17" s="13">
        <f>SUMIF(Mercado_Receita!$S$2:$S$174,"44774B1ConvencionalResidencialResidencialNão se aplicaNão se aplicaPonta",Mercado_Receita!$L$2:$L$174)+SUMIF(Mercado_Receita!$S$2:$S$174,"44774B1ConvencionalResidencialResidencialNão se aplicaNão se aplicaFora ponta",Mercado_Receita!$L$2:$L$174)+SUMIF(Mercado_Receita!$S$2:$S$174,"44774B1ConvencionalResidencialResidencialNão se aplicaNão se aplicaIntermediário",Mercado_Receita!$L$2:$L$174)+SUMIF(Mercado_Receita!$S$2:$S$174,"44774B1ConvencionalResidencialResidencialNão se aplicaNão se aplicaNão se aplica",Mercado_Receita!$L$2:$L$174)</f>
        <v>289.036</v>
      </c>
      <c r="S17" s="13">
        <f>SUMIF(Mercado_Receita!$S$2:$S$174,"44805B1ConvencionalResidencialResidencialNão se aplicaNão se aplicaPonta",Mercado_Receita!$L$2:$L$174)+SUMIF(Mercado_Receita!$S$2:$S$174,"44805B1ConvencionalResidencialResidencialNão se aplicaNão se aplicaFora ponta",Mercado_Receita!$L$2:$L$174)+SUMIF(Mercado_Receita!$S$2:$S$174,"44805B1ConvencionalResidencialResidencialNão se aplicaNão se aplicaIntermediário",Mercado_Receita!$L$2:$L$174)+SUMIF(Mercado_Receita!$S$2:$S$174,"44805B1ConvencionalResidencialResidencialNão se aplicaNão se aplicaNão se aplica",Mercado_Receita!$L$2:$L$174)</f>
        <v>304.84399999999999</v>
      </c>
      <c r="T17" s="13">
        <f>SUMIF(Mercado_Receita!$S$2:$S$174,"44835B1ConvencionalResidencialResidencialNão se aplicaNão se aplicaPonta",Mercado_Receita!$L$2:$L$174)+SUMIF(Mercado_Receita!$S$2:$S$174,"44835B1ConvencionalResidencialResidencialNão se aplicaNão se aplicaFora ponta",Mercado_Receita!$L$2:$L$174)+SUMIF(Mercado_Receita!$S$2:$S$174,"44835B1ConvencionalResidencialResidencialNão se aplicaNão se aplicaIntermediário",Mercado_Receita!$L$2:$L$174)+SUMIF(Mercado_Receita!$S$2:$S$174,"44835B1ConvencionalResidencialResidencialNão se aplicaNão se aplicaNão se aplica",Mercado_Receita!$L$2:$L$174)</f>
        <v>293.03399999999999</v>
      </c>
      <c r="U17" s="13">
        <f t="shared" si="0"/>
        <v>3454.3520000000003</v>
      </c>
      <c r="V17" s="13"/>
      <c r="W17" s="13"/>
    </row>
    <row r="18" spans="1:23" ht="11.25" customHeight="1" x14ac:dyDescent="0.25">
      <c r="A18" s="89"/>
      <c r="B18" s="89"/>
      <c r="C18" s="89"/>
      <c r="D18" s="12" t="s">
        <v>41</v>
      </c>
      <c r="E18" s="12" t="s">
        <v>25</v>
      </c>
      <c r="F18" s="12" t="s">
        <v>25</v>
      </c>
      <c r="G18" s="13" t="s">
        <v>67</v>
      </c>
      <c r="H18" s="13" t="s">
        <v>60</v>
      </c>
      <c r="I18" s="13">
        <f>SUMIF(Mercado_Receita!$S$2:$S$174,"44501B1ConvencionalResidencialResidencial baixa renda – faixa 01Não se aplicaNão se aplicaPonta",Mercado_Receita!$L$2:$L$174)+SUMIF(Mercado_Receita!$S$2:$S$174,"44501B1ConvencionalResidencialResidencial baixa renda – faixa 01Não se aplicaNão se aplicaFora ponta",Mercado_Receita!$L$2:$L$174)+SUMIF(Mercado_Receita!$S$2:$S$174,"44501B1ConvencionalResidencialResidencial baixa renda – faixa 01Não se aplicaNão se aplicaIntermediário",Mercado_Receita!$L$2:$L$174)+SUMIF(Mercado_Receita!$S$2:$S$174,"44501B1ConvencionalResidencialResidencial baixa renda – faixa 01Não se aplicaNão se aplicaNão se aplica",Mercado_Receita!$L$2:$L$174)</f>
        <v>0</v>
      </c>
      <c r="J18" s="13">
        <f>SUMIF(Mercado_Receita!$S$2:$S$174,"44531B1ConvencionalResidencialResidencial baixa renda – faixa 01Não se aplicaNão se aplicaPonta",Mercado_Receita!$L$2:$L$174)+SUMIF(Mercado_Receita!$S$2:$S$174,"44531B1ConvencionalResidencialResidencial baixa renda – faixa 01Não se aplicaNão se aplicaFora ponta",Mercado_Receita!$L$2:$L$174)+SUMIF(Mercado_Receita!$S$2:$S$174,"44531B1ConvencionalResidencialResidencial baixa renda – faixa 01Não se aplicaNão se aplicaIntermediário",Mercado_Receita!$L$2:$L$174)+SUMIF(Mercado_Receita!$S$2:$S$174,"44531B1ConvencionalResidencialResidencial baixa renda – faixa 01Não se aplicaNão se aplicaNão se aplica",Mercado_Receita!$L$2:$L$174)</f>
        <v>0</v>
      </c>
      <c r="K18" s="13">
        <f>SUMIF(Mercado_Receita!$S$2:$S$174,"44562B1ConvencionalResidencialResidencial baixa renda – faixa 01Não se aplicaNão se aplicaPonta",Mercado_Receita!$L$2:$L$174)+SUMIF(Mercado_Receita!$S$2:$S$174,"44562B1ConvencionalResidencialResidencial baixa renda – faixa 01Não se aplicaNão se aplicaFora ponta",Mercado_Receita!$L$2:$L$174)+SUMIF(Mercado_Receita!$S$2:$S$174,"44562B1ConvencionalResidencialResidencial baixa renda – faixa 01Não se aplicaNão se aplicaIntermediário",Mercado_Receita!$L$2:$L$174)+SUMIF(Mercado_Receita!$S$2:$S$174,"44562B1ConvencionalResidencialResidencial baixa renda – faixa 01Não se aplicaNão se aplicaNão se aplica",Mercado_Receita!$L$2:$L$174)</f>
        <v>0.03</v>
      </c>
      <c r="L18" s="13">
        <f>SUMIF(Mercado_Receita!$S$2:$S$174,"44593B1ConvencionalResidencialResidencial baixa renda – faixa 01Não se aplicaNão se aplicaPonta",Mercado_Receita!$L$2:$L$174)+SUMIF(Mercado_Receita!$S$2:$S$174,"44593B1ConvencionalResidencialResidencial baixa renda – faixa 01Não se aplicaNão se aplicaFora ponta",Mercado_Receita!$L$2:$L$174)+SUMIF(Mercado_Receita!$S$2:$S$174,"44593B1ConvencionalResidencialResidencial baixa renda – faixa 01Não se aplicaNão se aplicaIntermediário",Mercado_Receita!$L$2:$L$174)+SUMIF(Mercado_Receita!$S$2:$S$174,"44593B1ConvencionalResidencialResidencial baixa renda – faixa 01Não se aplicaNão se aplicaNão se aplica",Mercado_Receita!$L$2:$L$174)</f>
        <v>0.03</v>
      </c>
      <c r="M18" s="13">
        <f>SUMIF(Mercado_Receita!$S$2:$S$174,"44621B1ConvencionalResidencialResidencial baixa renda – faixa 01Não se aplicaNão se aplicaPonta",Mercado_Receita!$L$2:$L$174)+SUMIF(Mercado_Receita!$S$2:$S$174,"44621B1ConvencionalResidencialResidencial baixa renda – faixa 01Não se aplicaNão se aplicaFora ponta",Mercado_Receita!$L$2:$L$174)+SUMIF(Mercado_Receita!$S$2:$S$174,"44621B1ConvencionalResidencialResidencial baixa renda – faixa 01Não se aplicaNão se aplicaIntermediário",Mercado_Receita!$L$2:$L$174)+SUMIF(Mercado_Receita!$S$2:$S$174,"44621B1ConvencionalResidencialResidencial baixa renda – faixa 01Não se aplicaNão se aplicaNão se aplica",Mercado_Receita!$L$2:$L$174)</f>
        <v>0.06</v>
      </c>
      <c r="N18" s="13">
        <f>SUMIF(Mercado_Receita!$S$2:$S$174,"44652B1ConvencionalResidencialResidencial baixa renda – faixa 01Não se aplicaNão se aplicaPonta",Mercado_Receita!$L$2:$L$174)+SUMIF(Mercado_Receita!$S$2:$S$174,"44652B1ConvencionalResidencialResidencial baixa renda – faixa 01Não se aplicaNão se aplicaFora ponta",Mercado_Receita!$L$2:$L$174)+SUMIF(Mercado_Receita!$S$2:$S$174,"44652B1ConvencionalResidencialResidencial baixa renda – faixa 01Não se aplicaNão se aplicaIntermediário",Mercado_Receita!$L$2:$L$174)+SUMIF(Mercado_Receita!$S$2:$S$174,"44652B1ConvencionalResidencialResidencial baixa renda – faixa 01Não se aplicaNão se aplicaNão se aplica",Mercado_Receita!$L$2:$L$174)</f>
        <v>0.03</v>
      </c>
      <c r="O18" s="13">
        <f>SUMIF(Mercado_Receita!$S$2:$S$174,"44682B1ConvencionalResidencialResidencial baixa renda – faixa 01Não se aplicaNão se aplicaPonta",Mercado_Receita!$L$2:$L$174)+SUMIF(Mercado_Receita!$S$2:$S$174,"44682B1ConvencionalResidencialResidencial baixa renda – faixa 01Não se aplicaNão se aplicaFora ponta",Mercado_Receita!$L$2:$L$174)+SUMIF(Mercado_Receita!$S$2:$S$174,"44682B1ConvencionalResidencialResidencial baixa renda – faixa 01Não se aplicaNão se aplicaIntermediário",Mercado_Receita!$L$2:$L$174)+SUMIF(Mercado_Receita!$S$2:$S$174,"44682B1ConvencionalResidencialResidencial baixa renda – faixa 01Não se aplicaNão se aplicaNão se aplica",Mercado_Receita!$L$2:$L$174)</f>
        <v>0.03</v>
      </c>
      <c r="P18" s="13">
        <f>SUMIF(Mercado_Receita!$S$2:$S$174,"44713B1ConvencionalResidencialResidencial baixa renda – faixa 01Não se aplicaNão se aplicaPonta",Mercado_Receita!$L$2:$L$174)+SUMIF(Mercado_Receita!$S$2:$S$174,"44713B1ConvencionalResidencialResidencial baixa renda – faixa 01Não se aplicaNão se aplicaFora ponta",Mercado_Receita!$L$2:$L$174)+SUMIF(Mercado_Receita!$S$2:$S$174,"44713B1ConvencionalResidencialResidencial baixa renda – faixa 01Não se aplicaNão se aplicaIntermediário",Mercado_Receita!$L$2:$L$174)+SUMIF(Mercado_Receita!$S$2:$S$174,"44713B1ConvencionalResidencialResidencial baixa renda – faixa 01Não se aplicaNão se aplicaNão se aplica",Mercado_Receita!$L$2:$L$174)</f>
        <v>0.09</v>
      </c>
      <c r="Q18" s="13">
        <f>SUMIF(Mercado_Receita!$S$2:$S$174,"44743B1ConvencionalResidencialResidencial baixa renda – faixa 01Não se aplicaNão se aplicaPonta",Mercado_Receita!$L$2:$L$174)+SUMIF(Mercado_Receita!$S$2:$S$174,"44743B1ConvencionalResidencialResidencial baixa renda – faixa 01Não se aplicaNão se aplicaFora ponta",Mercado_Receita!$L$2:$L$174)+SUMIF(Mercado_Receita!$S$2:$S$174,"44743B1ConvencionalResidencialResidencial baixa renda – faixa 01Não se aplicaNão se aplicaIntermediário",Mercado_Receita!$L$2:$L$174)+SUMIF(Mercado_Receita!$S$2:$S$174,"44743B1ConvencionalResidencialResidencial baixa renda – faixa 01Não se aplicaNão se aplicaNão se aplica",Mercado_Receita!$L$2:$L$174)</f>
        <v>0.12</v>
      </c>
      <c r="R18" s="13">
        <f>SUMIF(Mercado_Receita!$S$2:$S$174,"44774B1ConvencionalResidencialResidencial baixa renda – faixa 01Não se aplicaNão se aplicaPonta",Mercado_Receita!$L$2:$L$174)+SUMIF(Mercado_Receita!$S$2:$S$174,"44774B1ConvencionalResidencialResidencial baixa renda – faixa 01Não se aplicaNão se aplicaFora ponta",Mercado_Receita!$L$2:$L$174)+SUMIF(Mercado_Receita!$S$2:$S$174,"44774B1ConvencionalResidencialResidencial baixa renda – faixa 01Não se aplicaNão se aplicaIntermediário",Mercado_Receita!$L$2:$L$174)+SUMIF(Mercado_Receita!$S$2:$S$174,"44774B1ConvencionalResidencialResidencial baixa renda – faixa 01Não se aplicaNão se aplicaNão se aplica",Mercado_Receita!$L$2:$L$174)</f>
        <v>0.03</v>
      </c>
      <c r="S18" s="13">
        <f>SUMIF(Mercado_Receita!$S$2:$S$174,"44805B1ConvencionalResidencialResidencial baixa renda – faixa 01Não se aplicaNão se aplicaPonta",Mercado_Receita!$L$2:$L$174)+SUMIF(Mercado_Receita!$S$2:$S$174,"44805B1ConvencionalResidencialResidencial baixa renda – faixa 01Não se aplicaNão se aplicaFora ponta",Mercado_Receita!$L$2:$L$174)+SUMIF(Mercado_Receita!$S$2:$S$174,"44805B1ConvencionalResidencialResidencial baixa renda – faixa 01Não se aplicaNão se aplicaIntermediário",Mercado_Receita!$L$2:$L$174)+SUMIF(Mercado_Receita!$S$2:$S$174,"44805B1ConvencionalResidencialResidencial baixa renda – faixa 01Não se aplicaNão se aplicaNão se aplica",Mercado_Receita!$L$2:$L$174)</f>
        <v>0.03</v>
      </c>
      <c r="T18" s="13">
        <f>SUMIF(Mercado_Receita!$S$2:$S$174,"44835B1ConvencionalResidencialResidencial baixa renda – faixa 01Não se aplicaNão se aplicaPonta",Mercado_Receita!$L$2:$L$174)+SUMIF(Mercado_Receita!$S$2:$S$174,"44835B1ConvencionalResidencialResidencial baixa renda – faixa 01Não se aplicaNão se aplicaFora ponta",Mercado_Receita!$L$2:$L$174)+SUMIF(Mercado_Receita!$S$2:$S$174,"44835B1ConvencionalResidencialResidencial baixa renda – faixa 01Não se aplicaNão se aplicaIntermediário",Mercado_Receita!$L$2:$L$174)+SUMIF(Mercado_Receita!$S$2:$S$174,"44835B1ConvencionalResidencialResidencial baixa renda – faixa 01Não se aplicaNão se aplicaNão se aplica",Mercado_Receita!$L$2:$L$174)</f>
        <v>0.03</v>
      </c>
      <c r="U18" s="13">
        <f t="shared" si="0"/>
        <v>0.48000000000000009</v>
      </c>
      <c r="V18" s="13"/>
      <c r="W18" s="13"/>
    </row>
    <row r="19" spans="1:23" ht="11.25" customHeight="1" x14ac:dyDescent="0.25">
      <c r="A19" s="89"/>
      <c r="B19" s="89"/>
      <c r="C19" s="89"/>
      <c r="D19" s="12" t="s">
        <v>42</v>
      </c>
      <c r="E19" s="12" t="s">
        <v>25</v>
      </c>
      <c r="F19" s="12" t="s">
        <v>25</v>
      </c>
      <c r="G19" s="13" t="s">
        <v>67</v>
      </c>
      <c r="H19" s="13" t="s">
        <v>60</v>
      </c>
      <c r="I19" s="13">
        <f>SUMIF(Mercado_Receita!$S$2:$S$174,"44501B1ConvencionalResidencialResidencial baixa renda – faixa 02Não se aplicaNão se aplicaPonta",Mercado_Receita!$L$2:$L$174)+SUMIF(Mercado_Receita!$S$2:$S$174,"44501B1ConvencionalResidencialResidencial baixa renda – faixa 02Não se aplicaNão se aplicaFora ponta",Mercado_Receita!$L$2:$L$174)+SUMIF(Mercado_Receita!$S$2:$S$174,"44501B1ConvencionalResidencialResidencial baixa renda – faixa 02Não se aplicaNão se aplicaIntermediário",Mercado_Receita!$L$2:$L$174)+SUMIF(Mercado_Receita!$S$2:$S$174,"44501B1ConvencionalResidencialResidencial baixa renda – faixa 02Não se aplicaNão se aplicaNão se aplica",Mercado_Receita!$L$2:$L$174)</f>
        <v>0</v>
      </c>
      <c r="J19" s="13">
        <f>SUMIF(Mercado_Receita!$S$2:$S$174,"44531B1ConvencionalResidencialResidencial baixa renda – faixa 02Não se aplicaNão se aplicaPonta",Mercado_Receita!$L$2:$L$174)+SUMIF(Mercado_Receita!$S$2:$S$174,"44531B1ConvencionalResidencialResidencial baixa renda – faixa 02Não se aplicaNão se aplicaFora ponta",Mercado_Receita!$L$2:$L$174)+SUMIF(Mercado_Receita!$S$2:$S$174,"44531B1ConvencionalResidencialResidencial baixa renda – faixa 02Não se aplicaNão se aplicaIntermediário",Mercado_Receita!$L$2:$L$174)+SUMIF(Mercado_Receita!$S$2:$S$174,"44531B1ConvencionalResidencialResidencial baixa renda – faixa 02Não se aplicaNão se aplicaNão se aplica",Mercado_Receita!$L$2:$L$174)</f>
        <v>0</v>
      </c>
      <c r="K19" s="13">
        <f>SUMIF(Mercado_Receita!$S$2:$S$174,"44562B1ConvencionalResidencialResidencial baixa renda – faixa 02Não se aplicaNão se aplicaPonta",Mercado_Receita!$L$2:$L$174)+SUMIF(Mercado_Receita!$S$2:$S$174,"44562B1ConvencionalResidencialResidencial baixa renda – faixa 02Não se aplicaNão se aplicaFora ponta",Mercado_Receita!$L$2:$L$174)+SUMIF(Mercado_Receita!$S$2:$S$174,"44562B1ConvencionalResidencialResidencial baixa renda – faixa 02Não se aplicaNão se aplicaIntermediário",Mercado_Receita!$L$2:$L$174)+SUMIF(Mercado_Receita!$S$2:$S$174,"44562B1ConvencionalResidencialResidencial baixa renda – faixa 02Não se aplicaNão se aplicaNão se aplica",Mercado_Receita!$L$2:$L$174)</f>
        <v>0</v>
      </c>
      <c r="L19" s="13">
        <f>SUMIF(Mercado_Receita!$S$2:$S$174,"44593B1ConvencionalResidencialResidencial baixa renda – faixa 02Não se aplicaNão se aplicaPonta",Mercado_Receita!$L$2:$L$174)+SUMIF(Mercado_Receita!$S$2:$S$174,"44593B1ConvencionalResidencialResidencial baixa renda – faixa 02Não se aplicaNão se aplicaFora ponta",Mercado_Receita!$L$2:$L$174)+SUMIF(Mercado_Receita!$S$2:$S$174,"44593B1ConvencionalResidencialResidencial baixa renda – faixa 02Não se aplicaNão se aplicaIntermediário",Mercado_Receita!$L$2:$L$174)+SUMIF(Mercado_Receita!$S$2:$S$174,"44593B1ConvencionalResidencialResidencial baixa renda – faixa 02Não se aplicaNão se aplicaNão se aplica",Mercado_Receita!$L$2:$L$174)</f>
        <v>8.7999999999999995E-2</v>
      </c>
      <c r="M19" s="13">
        <f>SUMIF(Mercado_Receita!$S$2:$S$174,"44621B1ConvencionalResidencialResidencial baixa renda – faixa 02Não se aplicaNão se aplicaPonta",Mercado_Receita!$L$2:$L$174)+SUMIF(Mercado_Receita!$S$2:$S$174,"44621B1ConvencionalResidencialResidencial baixa renda – faixa 02Não se aplicaNão se aplicaFora ponta",Mercado_Receita!$L$2:$L$174)+SUMIF(Mercado_Receita!$S$2:$S$174,"44621B1ConvencionalResidencialResidencial baixa renda – faixa 02Não se aplicaNão se aplicaIntermediário",Mercado_Receita!$L$2:$L$174)+SUMIF(Mercado_Receita!$S$2:$S$174,"44621B1ConvencionalResidencialResidencial baixa renda – faixa 02Não se aplicaNão se aplicaNão se aplica",Mercado_Receita!$L$2:$L$174)</f>
        <v>0.24</v>
      </c>
      <c r="N19" s="13">
        <f>SUMIF(Mercado_Receita!$S$2:$S$174,"44652B1ConvencionalResidencialResidencial baixa renda – faixa 02Não se aplicaNão se aplicaPonta",Mercado_Receita!$L$2:$L$174)+SUMIF(Mercado_Receita!$S$2:$S$174,"44652B1ConvencionalResidencialResidencial baixa renda – faixa 02Não se aplicaNão se aplicaFora ponta",Mercado_Receita!$L$2:$L$174)+SUMIF(Mercado_Receita!$S$2:$S$174,"44652B1ConvencionalResidencialResidencial baixa renda – faixa 02Não se aplicaNão se aplicaIntermediário",Mercado_Receita!$L$2:$L$174)+SUMIF(Mercado_Receita!$S$2:$S$174,"44652B1ConvencionalResidencialResidencial baixa renda – faixa 02Não se aplicaNão se aplicaNão se aplica",Mercado_Receita!$L$2:$L$174)</f>
        <v>0.81100000000000005</v>
      </c>
      <c r="O19" s="13">
        <f>SUMIF(Mercado_Receita!$S$2:$S$174,"44682B1ConvencionalResidencialResidencial baixa renda – faixa 02Não se aplicaNão se aplicaPonta",Mercado_Receita!$L$2:$L$174)+SUMIF(Mercado_Receita!$S$2:$S$174,"44682B1ConvencionalResidencialResidencial baixa renda – faixa 02Não se aplicaNão se aplicaFora ponta",Mercado_Receita!$L$2:$L$174)+SUMIF(Mercado_Receita!$S$2:$S$174,"44682B1ConvencionalResidencialResidencial baixa renda – faixa 02Não se aplicaNão se aplicaIntermediário",Mercado_Receita!$L$2:$L$174)+SUMIF(Mercado_Receita!$S$2:$S$174,"44682B1ConvencionalResidencialResidencial baixa renda – faixa 02Não se aplicaNão se aplicaNão se aplica",Mercado_Receita!$L$2:$L$174)</f>
        <v>0.97299999999999998</v>
      </c>
      <c r="P19" s="13">
        <f>SUMIF(Mercado_Receita!$S$2:$S$174,"44713B1ConvencionalResidencialResidencial baixa renda – faixa 02Não se aplicaNão se aplicaPonta",Mercado_Receita!$L$2:$L$174)+SUMIF(Mercado_Receita!$S$2:$S$174,"44713B1ConvencionalResidencialResidencial baixa renda – faixa 02Não se aplicaNão se aplicaFora ponta",Mercado_Receita!$L$2:$L$174)+SUMIF(Mercado_Receita!$S$2:$S$174,"44713B1ConvencionalResidencialResidencial baixa renda – faixa 02Não se aplicaNão se aplicaIntermediário",Mercado_Receita!$L$2:$L$174)+SUMIF(Mercado_Receita!$S$2:$S$174,"44713B1ConvencionalResidencialResidencial baixa renda – faixa 02Não se aplicaNão se aplicaNão se aplica",Mercado_Receita!$L$2:$L$174)</f>
        <v>1.0389999999999999</v>
      </c>
      <c r="Q19" s="13">
        <f>SUMIF(Mercado_Receita!$S$2:$S$174,"44743B1ConvencionalResidencialResidencial baixa renda – faixa 02Não se aplicaNão se aplicaPonta",Mercado_Receita!$L$2:$L$174)+SUMIF(Mercado_Receita!$S$2:$S$174,"44743B1ConvencionalResidencialResidencial baixa renda – faixa 02Não se aplicaNão se aplicaFora ponta",Mercado_Receita!$L$2:$L$174)+SUMIF(Mercado_Receita!$S$2:$S$174,"44743B1ConvencionalResidencialResidencial baixa renda – faixa 02Não se aplicaNão se aplicaIntermediário",Mercado_Receita!$L$2:$L$174)+SUMIF(Mercado_Receita!$S$2:$S$174,"44743B1ConvencionalResidencialResidencial baixa renda – faixa 02Não se aplicaNão se aplicaNão se aplica",Mercado_Receita!$L$2:$L$174)</f>
        <v>1.1870000000000001</v>
      </c>
      <c r="R19" s="13">
        <f>SUMIF(Mercado_Receita!$S$2:$S$174,"44774B1ConvencionalResidencialResidencial baixa renda – faixa 02Não se aplicaNão se aplicaPonta",Mercado_Receita!$L$2:$L$174)+SUMIF(Mercado_Receita!$S$2:$S$174,"44774B1ConvencionalResidencialResidencial baixa renda – faixa 02Não se aplicaNão se aplicaFora ponta",Mercado_Receita!$L$2:$L$174)+SUMIF(Mercado_Receita!$S$2:$S$174,"44774B1ConvencionalResidencialResidencial baixa renda – faixa 02Não se aplicaNão se aplicaIntermediário",Mercado_Receita!$L$2:$L$174)+SUMIF(Mercado_Receita!$S$2:$S$174,"44774B1ConvencionalResidencialResidencial baixa renda – faixa 02Não se aplicaNão se aplicaNão se aplica",Mercado_Receita!$L$2:$L$174)</f>
        <v>1.0620000000000001</v>
      </c>
      <c r="S19" s="13">
        <f>SUMIF(Mercado_Receita!$S$2:$S$174,"44805B1ConvencionalResidencialResidencial baixa renda – faixa 02Não se aplicaNão se aplicaPonta",Mercado_Receita!$L$2:$L$174)+SUMIF(Mercado_Receita!$S$2:$S$174,"44805B1ConvencionalResidencialResidencial baixa renda – faixa 02Não se aplicaNão se aplicaFora ponta",Mercado_Receita!$L$2:$L$174)+SUMIF(Mercado_Receita!$S$2:$S$174,"44805B1ConvencionalResidencialResidencial baixa renda – faixa 02Não se aplicaNão se aplicaIntermediário",Mercado_Receita!$L$2:$L$174)+SUMIF(Mercado_Receita!$S$2:$S$174,"44805B1ConvencionalResidencialResidencial baixa renda – faixa 02Não se aplicaNão se aplicaNão se aplica",Mercado_Receita!$L$2:$L$174)</f>
        <v>0.99</v>
      </c>
      <c r="T19" s="13">
        <f>SUMIF(Mercado_Receita!$S$2:$S$174,"44835B1ConvencionalResidencialResidencial baixa renda – faixa 02Não se aplicaNão se aplicaPonta",Mercado_Receita!$L$2:$L$174)+SUMIF(Mercado_Receita!$S$2:$S$174,"44835B1ConvencionalResidencialResidencial baixa renda – faixa 02Não se aplicaNão se aplicaFora ponta",Mercado_Receita!$L$2:$L$174)+SUMIF(Mercado_Receita!$S$2:$S$174,"44835B1ConvencionalResidencialResidencial baixa renda – faixa 02Não se aplicaNão se aplicaIntermediário",Mercado_Receita!$L$2:$L$174)+SUMIF(Mercado_Receita!$S$2:$S$174,"44835B1ConvencionalResidencialResidencial baixa renda – faixa 02Não se aplicaNão se aplicaNão se aplica",Mercado_Receita!$L$2:$L$174)</f>
        <v>0.92300000000000004</v>
      </c>
      <c r="U19" s="13">
        <f t="shared" si="0"/>
        <v>7.3130000000000006</v>
      </c>
      <c r="V19" s="13"/>
      <c r="W19" s="13"/>
    </row>
    <row r="20" spans="1:23" ht="11.25" customHeight="1" x14ac:dyDescent="0.25">
      <c r="A20" s="89"/>
      <c r="B20" s="89"/>
      <c r="C20" s="89"/>
      <c r="D20" s="12" t="s">
        <v>39</v>
      </c>
      <c r="E20" s="12" t="s">
        <v>25</v>
      </c>
      <c r="F20" s="12" t="s">
        <v>25</v>
      </c>
      <c r="G20" s="13" t="s">
        <v>67</v>
      </c>
      <c r="H20" s="13" t="s">
        <v>60</v>
      </c>
      <c r="I20" s="13">
        <f>SUMIF(Mercado_Receita!$S$2:$S$174,"44501B1ConvencionalResidencialResidencial baixa renda – faixa 03Não se aplicaNão se aplicaPonta",Mercado_Receita!$L$2:$L$174)+SUMIF(Mercado_Receita!$S$2:$S$174,"44501B1ConvencionalResidencialResidencial baixa renda – faixa 03Não se aplicaNão se aplicaFora ponta",Mercado_Receita!$L$2:$L$174)+SUMIF(Mercado_Receita!$S$2:$S$174,"44501B1ConvencionalResidencialResidencial baixa renda – faixa 03Não se aplicaNão se aplicaIntermediário",Mercado_Receita!$L$2:$L$174)+SUMIF(Mercado_Receita!$S$2:$S$174,"44501B1ConvencionalResidencialResidencial baixa renda – faixa 03Não se aplicaNão se aplicaNão se aplica",Mercado_Receita!$L$2:$L$174)</f>
        <v>0</v>
      </c>
      <c r="J20" s="13">
        <f>SUMIF(Mercado_Receita!$S$2:$S$174,"44531B1ConvencionalResidencialResidencial baixa renda – faixa 03Não se aplicaNão se aplicaPonta",Mercado_Receita!$L$2:$L$174)+SUMIF(Mercado_Receita!$S$2:$S$174,"44531B1ConvencionalResidencialResidencial baixa renda – faixa 03Não se aplicaNão se aplicaFora ponta",Mercado_Receita!$L$2:$L$174)+SUMIF(Mercado_Receita!$S$2:$S$174,"44531B1ConvencionalResidencialResidencial baixa renda – faixa 03Não se aplicaNão se aplicaIntermediário",Mercado_Receita!$L$2:$L$174)+SUMIF(Mercado_Receita!$S$2:$S$174,"44531B1ConvencionalResidencialResidencial baixa renda – faixa 03Não se aplicaNão se aplicaNão se aplica",Mercado_Receita!$L$2:$L$174)</f>
        <v>0.55300000000000005</v>
      </c>
      <c r="K20" s="13">
        <f>SUMIF(Mercado_Receita!$S$2:$S$174,"44562B1ConvencionalResidencialResidencial baixa renda – faixa 03Não se aplicaNão se aplicaPonta",Mercado_Receita!$L$2:$L$174)+SUMIF(Mercado_Receita!$S$2:$S$174,"44562B1ConvencionalResidencialResidencial baixa renda – faixa 03Não se aplicaNão se aplicaFora ponta",Mercado_Receita!$L$2:$L$174)+SUMIF(Mercado_Receita!$S$2:$S$174,"44562B1ConvencionalResidencialResidencial baixa renda – faixa 03Não se aplicaNão se aplicaIntermediário",Mercado_Receita!$L$2:$L$174)+SUMIF(Mercado_Receita!$S$2:$S$174,"44562B1ConvencionalResidencialResidencial baixa renda – faixa 03Não se aplicaNão se aplicaNão se aplica",Mercado_Receita!$L$2:$L$174)</f>
        <v>0.495</v>
      </c>
      <c r="L20" s="13">
        <f>SUMIF(Mercado_Receita!$S$2:$S$174,"44593B1ConvencionalResidencialResidencial baixa renda – faixa 03Não se aplicaNão se aplicaPonta",Mercado_Receita!$L$2:$L$174)+SUMIF(Mercado_Receita!$S$2:$S$174,"44593B1ConvencionalResidencialResidencial baixa renda – faixa 03Não se aplicaNão se aplicaFora ponta",Mercado_Receita!$L$2:$L$174)+SUMIF(Mercado_Receita!$S$2:$S$174,"44593B1ConvencionalResidencialResidencial baixa renda – faixa 03Não se aplicaNão se aplicaIntermediário",Mercado_Receita!$L$2:$L$174)+SUMIF(Mercado_Receita!$S$2:$S$174,"44593B1ConvencionalResidencialResidencial baixa renda – faixa 03Não se aplicaNão se aplicaNão se aplica",Mercado_Receita!$L$2:$L$174)</f>
        <v>0.49099999999999999</v>
      </c>
      <c r="M20" s="13">
        <f>SUMIF(Mercado_Receita!$S$2:$S$174,"44621B1ConvencionalResidencialResidencial baixa renda – faixa 03Não se aplicaNão se aplicaPonta",Mercado_Receita!$L$2:$L$174)+SUMIF(Mercado_Receita!$S$2:$S$174,"44621B1ConvencionalResidencialResidencial baixa renda – faixa 03Não se aplicaNão se aplicaFora ponta",Mercado_Receita!$L$2:$L$174)+SUMIF(Mercado_Receita!$S$2:$S$174,"44621B1ConvencionalResidencialResidencial baixa renda – faixa 03Não se aplicaNão se aplicaIntermediário",Mercado_Receita!$L$2:$L$174)+SUMIF(Mercado_Receita!$S$2:$S$174,"44621B1ConvencionalResidencialResidencial baixa renda – faixa 03Não se aplicaNão se aplicaNão se aplica",Mercado_Receita!$L$2:$L$174)</f>
        <v>3.1960000000000002</v>
      </c>
      <c r="N20" s="13">
        <f>SUMIF(Mercado_Receita!$S$2:$S$174,"44652B1ConvencionalResidencialResidencial baixa renda – faixa 03Não se aplicaNão se aplicaPonta",Mercado_Receita!$L$2:$L$174)+SUMIF(Mercado_Receita!$S$2:$S$174,"44652B1ConvencionalResidencialResidencial baixa renda – faixa 03Não se aplicaNão se aplicaFora ponta",Mercado_Receita!$L$2:$L$174)+SUMIF(Mercado_Receita!$S$2:$S$174,"44652B1ConvencionalResidencialResidencial baixa renda – faixa 03Não se aplicaNão se aplicaIntermediário",Mercado_Receita!$L$2:$L$174)+SUMIF(Mercado_Receita!$S$2:$S$174,"44652B1ConvencionalResidencialResidencial baixa renda – faixa 03Não se aplicaNão se aplicaNão se aplica",Mercado_Receita!$L$2:$L$174)</f>
        <v>10.061</v>
      </c>
      <c r="O20" s="13">
        <f>SUMIF(Mercado_Receita!$S$2:$S$174,"44682B1ConvencionalResidencialResidencial baixa renda – faixa 03Não se aplicaNão se aplicaPonta",Mercado_Receita!$L$2:$L$174)+SUMIF(Mercado_Receita!$S$2:$S$174,"44682B1ConvencionalResidencialResidencial baixa renda – faixa 03Não se aplicaNão se aplicaFora ponta",Mercado_Receita!$L$2:$L$174)+SUMIF(Mercado_Receita!$S$2:$S$174,"44682B1ConvencionalResidencialResidencial baixa renda – faixa 03Não se aplicaNão se aplicaIntermediário",Mercado_Receita!$L$2:$L$174)+SUMIF(Mercado_Receita!$S$2:$S$174,"44682B1ConvencionalResidencialResidencial baixa renda – faixa 03Não se aplicaNão se aplicaNão se aplica",Mercado_Receita!$L$2:$L$174)</f>
        <v>11.696</v>
      </c>
      <c r="P20" s="13">
        <f>SUMIF(Mercado_Receita!$S$2:$S$174,"44713B1ConvencionalResidencialResidencial baixa renda – faixa 03Não se aplicaNão se aplicaPonta",Mercado_Receita!$L$2:$L$174)+SUMIF(Mercado_Receita!$S$2:$S$174,"44713B1ConvencionalResidencialResidencial baixa renda – faixa 03Não se aplicaNão se aplicaFora ponta",Mercado_Receita!$L$2:$L$174)+SUMIF(Mercado_Receita!$S$2:$S$174,"44713B1ConvencionalResidencialResidencial baixa renda – faixa 03Não se aplicaNão se aplicaIntermediário",Mercado_Receita!$L$2:$L$174)+SUMIF(Mercado_Receita!$S$2:$S$174,"44713B1ConvencionalResidencialResidencial baixa renda – faixa 03Não se aplicaNão se aplicaNão se aplica",Mercado_Receita!$L$2:$L$174)</f>
        <v>10.15</v>
      </c>
      <c r="Q20" s="13">
        <f>SUMIF(Mercado_Receita!$S$2:$S$174,"44743B1ConvencionalResidencialResidencial baixa renda – faixa 03Não se aplicaNão se aplicaPonta",Mercado_Receita!$L$2:$L$174)+SUMIF(Mercado_Receita!$S$2:$S$174,"44743B1ConvencionalResidencialResidencial baixa renda – faixa 03Não se aplicaNão se aplicaFora ponta",Mercado_Receita!$L$2:$L$174)+SUMIF(Mercado_Receita!$S$2:$S$174,"44743B1ConvencionalResidencialResidencial baixa renda – faixa 03Não se aplicaNão se aplicaIntermediário",Mercado_Receita!$L$2:$L$174)+SUMIF(Mercado_Receita!$S$2:$S$174,"44743B1ConvencionalResidencialResidencial baixa renda – faixa 03Não se aplicaNão se aplicaNão se aplica",Mercado_Receita!$L$2:$L$174)</f>
        <v>10.058</v>
      </c>
      <c r="R20" s="13">
        <f>SUMIF(Mercado_Receita!$S$2:$S$174,"44774B1ConvencionalResidencialResidencial baixa renda – faixa 03Não se aplicaNão se aplicaPonta",Mercado_Receita!$L$2:$L$174)+SUMIF(Mercado_Receita!$S$2:$S$174,"44774B1ConvencionalResidencialResidencial baixa renda – faixa 03Não se aplicaNão se aplicaFora ponta",Mercado_Receita!$L$2:$L$174)+SUMIF(Mercado_Receita!$S$2:$S$174,"44774B1ConvencionalResidencialResidencial baixa renda – faixa 03Não se aplicaNão se aplicaIntermediário",Mercado_Receita!$L$2:$L$174)+SUMIF(Mercado_Receita!$S$2:$S$174,"44774B1ConvencionalResidencialResidencial baixa renda – faixa 03Não se aplicaNão se aplicaNão se aplica",Mercado_Receita!$L$2:$L$174)</f>
        <v>9.83</v>
      </c>
      <c r="S20" s="13">
        <f>SUMIF(Mercado_Receita!$S$2:$S$174,"44805B1ConvencionalResidencialResidencial baixa renda – faixa 03Não se aplicaNão se aplicaPonta",Mercado_Receita!$L$2:$L$174)+SUMIF(Mercado_Receita!$S$2:$S$174,"44805B1ConvencionalResidencialResidencial baixa renda – faixa 03Não se aplicaNão se aplicaFora ponta",Mercado_Receita!$L$2:$L$174)+SUMIF(Mercado_Receita!$S$2:$S$174,"44805B1ConvencionalResidencialResidencial baixa renda – faixa 03Não se aplicaNão se aplicaIntermediário",Mercado_Receita!$L$2:$L$174)+SUMIF(Mercado_Receita!$S$2:$S$174,"44805B1ConvencionalResidencialResidencial baixa renda – faixa 03Não se aplicaNão se aplicaNão se aplica",Mercado_Receita!$L$2:$L$174)</f>
        <v>11.214</v>
      </c>
      <c r="T20" s="13">
        <f>SUMIF(Mercado_Receita!$S$2:$S$174,"44835B1ConvencionalResidencialResidencial baixa renda – faixa 03Não se aplicaNão se aplicaPonta",Mercado_Receita!$L$2:$L$174)+SUMIF(Mercado_Receita!$S$2:$S$174,"44835B1ConvencionalResidencialResidencial baixa renda – faixa 03Não se aplicaNão se aplicaFora ponta",Mercado_Receita!$L$2:$L$174)+SUMIF(Mercado_Receita!$S$2:$S$174,"44835B1ConvencionalResidencialResidencial baixa renda – faixa 03Não se aplicaNão se aplicaIntermediário",Mercado_Receita!$L$2:$L$174)+SUMIF(Mercado_Receita!$S$2:$S$174,"44835B1ConvencionalResidencialResidencial baixa renda – faixa 03Não se aplicaNão se aplicaNão se aplica",Mercado_Receita!$L$2:$L$174)</f>
        <v>9.5440000000000005</v>
      </c>
      <c r="U20" s="13">
        <f t="shared" si="0"/>
        <v>77.287999999999997</v>
      </c>
      <c r="V20" s="13"/>
      <c r="W20" s="13"/>
    </row>
    <row r="21" spans="1:23" ht="11.25" customHeight="1" x14ac:dyDescent="0.25">
      <c r="A21" s="89"/>
      <c r="B21" s="89"/>
      <c r="C21" s="89"/>
      <c r="D21" s="12" t="s">
        <v>40</v>
      </c>
      <c r="E21" s="12" t="s">
        <v>25</v>
      </c>
      <c r="F21" s="12" t="s">
        <v>25</v>
      </c>
      <c r="G21" s="13" t="s">
        <v>67</v>
      </c>
      <c r="H21" s="13" t="s">
        <v>60</v>
      </c>
      <c r="I21" s="13">
        <f>SUMIF(Mercado_Receita!$S$2:$S$174,"44501B1ConvencionalResidencialResidencial baixa renda – faixa 04Não se aplicaNão se aplicaPonta",Mercado_Receita!$L$2:$L$174)+SUMIF(Mercado_Receita!$S$2:$S$174,"44501B1ConvencionalResidencialResidencial baixa renda – faixa 04Não se aplicaNão se aplicaFora ponta",Mercado_Receita!$L$2:$L$174)+SUMIF(Mercado_Receita!$S$2:$S$174,"44501B1ConvencionalResidencialResidencial baixa renda – faixa 04Não se aplicaNão se aplicaIntermediário",Mercado_Receita!$L$2:$L$174)+SUMIF(Mercado_Receita!$S$2:$S$174,"44501B1ConvencionalResidencialResidencial baixa renda – faixa 04Não se aplicaNão se aplicaNão se aplica",Mercado_Receita!$L$2:$L$174)</f>
        <v>0</v>
      </c>
      <c r="J21" s="13">
        <f>SUMIF(Mercado_Receita!$S$2:$S$174,"44531B1ConvencionalResidencialResidencial baixa renda – faixa 04Não se aplicaNão se aplicaPonta",Mercado_Receita!$L$2:$L$174)+SUMIF(Mercado_Receita!$S$2:$S$174,"44531B1ConvencionalResidencialResidencial baixa renda – faixa 04Não se aplicaNão se aplicaFora ponta",Mercado_Receita!$L$2:$L$174)+SUMIF(Mercado_Receita!$S$2:$S$174,"44531B1ConvencionalResidencialResidencial baixa renda – faixa 04Não se aplicaNão se aplicaIntermediário",Mercado_Receita!$L$2:$L$174)+SUMIF(Mercado_Receita!$S$2:$S$174,"44531B1ConvencionalResidencialResidencial baixa renda – faixa 04Não se aplicaNão se aplicaNão se aplica",Mercado_Receita!$L$2:$L$174)</f>
        <v>1.401</v>
      </c>
      <c r="K21" s="13">
        <f>SUMIF(Mercado_Receita!$S$2:$S$174,"44562B1ConvencionalResidencialResidencial baixa renda – faixa 04Não se aplicaNão se aplicaPonta",Mercado_Receita!$L$2:$L$174)+SUMIF(Mercado_Receita!$S$2:$S$174,"44562B1ConvencionalResidencialResidencial baixa renda – faixa 04Não se aplicaNão se aplicaFora ponta",Mercado_Receita!$L$2:$L$174)+SUMIF(Mercado_Receita!$S$2:$S$174,"44562B1ConvencionalResidencialResidencial baixa renda – faixa 04Não se aplicaNão se aplicaIntermediário",Mercado_Receita!$L$2:$L$174)+SUMIF(Mercado_Receita!$S$2:$S$174,"44562B1ConvencionalResidencialResidencial baixa renda – faixa 04Não se aplicaNão se aplicaNão se aplica",Mercado_Receita!$L$2:$L$174)</f>
        <v>1.125</v>
      </c>
      <c r="L21" s="13">
        <f>SUMIF(Mercado_Receita!$S$2:$S$174,"44593B1ConvencionalResidencialResidencial baixa renda – faixa 04Não se aplicaNão se aplicaPonta",Mercado_Receita!$L$2:$L$174)+SUMIF(Mercado_Receita!$S$2:$S$174,"44593B1ConvencionalResidencialResidencial baixa renda – faixa 04Não se aplicaNão se aplicaFora ponta",Mercado_Receita!$L$2:$L$174)+SUMIF(Mercado_Receita!$S$2:$S$174,"44593B1ConvencionalResidencialResidencial baixa renda – faixa 04Não se aplicaNão se aplicaIntermediário",Mercado_Receita!$L$2:$L$174)+SUMIF(Mercado_Receita!$S$2:$S$174,"44593B1ConvencionalResidencialResidencial baixa renda – faixa 04Não se aplicaNão se aplicaNão se aplica",Mercado_Receita!$L$2:$L$174)</f>
        <v>1.113</v>
      </c>
      <c r="M21" s="13">
        <f>SUMIF(Mercado_Receita!$S$2:$S$174,"44621B1ConvencionalResidencialResidencial baixa renda – faixa 04Não se aplicaNão se aplicaPonta",Mercado_Receita!$L$2:$L$174)+SUMIF(Mercado_Receita!$S$2:$S$174,"44621B1ConvencionalResidencialResidencial baixa renda – faixa 04Não se aplicaNão se aplicaFora ponta",Mercado_Receita!$L$2:$L$174)+SUMIF(Mercado_Receita!$S$2:$S$174,"44621B1ConvencionalResidencialResidencial baixa renda – faixa 04Não se aplicaNão se aplicaIntermediário",Mercado_Receita!$L$2:$L$174)+SUMIF(Mercado_Receita!$S$2:$S$174,"44621B1ConvencionalResidencialResidencial baixa renda – faixa 04Não se aplicaNão se aplicaNão se aplica",Mercado_Receita!$L$2:$L$174)</f>
        <v>4.9450000000000003</v>
      </c>
      <c r="N21" s="13">
        <f>SUMIF(Mercado_Receita!$S$2:$S$174,"44652B1ConvencionalResidencialResidencial baixa renda – faixa 04Não se aplicaNão se aplicaPonta",Mercado_Receita!$L$2:$L$174)+SUMIF(Mercado_Receita!$S$2:$S$174,"44652B1ConvencionalResidencialResidencial baixa renda – faixa 04Não se aplicaNão se aplicaFora ponta",Mercado_Receita!$L$2:$L$174)+SUMIF(Mercado_Receita!$S$2:$S$174,"44652B1ConvencionalResidencialResidencial baixa renda – faixa 04Não se aplicaNão se aplicaIntermediário",Mercado_Receita!$L$2:$L$174)+SUMIF(Mercado_Receita!$S$2:$S$174,"44652B1ConvencionalResidencialResidencial baixa renda – faixa 04Não se aplicaNão se aplicaNão se aplica",Mercado_Receita!$L$2:$L$174)</f>
        <v>7.3570000000000002</v>
      </c>
      <c r="O21" s="13">
        <f>SUMIF(Mercado_Receita!$S$2:$S$174,"44682B1ConvencionalResidencialResidencial baixa renda – faixa 04Não se aplicaNão se aplicaPonta",Mercado_Receita!$L$2:$L$174)+SUMIF(Mercado_Receita!$S$2:$S$174,"44682B1ConvencionalResidencialResidencial baixa renda – faixa 04Não se aplicaNão se aplicaFora ponta",Mercado_Receita!$L$2:$L$174)+SUMIF(Mercado_Receita!$S$2:$S$174,"44682B1ConvencionalResidencialResidencial baixa renda – faixa 04Não se aplicaNão se aplicaIntermediário",Mercado_Receita!$L$2:$L$174)+SUMIF(Mercado_Receita!$S$2:$S$174,"44682B1ConvencionalResidencialResidencial baixa renda – faixa 04Não se aplicaNão se aplicaNão se aplica",Mercado_Receita!$L$2:$L$174)</f>
        <v>6.5419999999999998</v>
      </c>
      <c r="P21" s="13">
        <f>SUMIF(Mercado_Receita!$S$2:$S$174,"44713B1ConvencionalResidencialResidencial baixa renda – faixa 04Não se aplicaNão se aplicaPonta",Mercado_Receita!$L$2:$L$174)+SUMIF(Mercado_Receita!$S$2:$S$174,"44713B1ConvencionalResidencialResidencial baixa renda – faixa 04Não se aplicaNão se aplicaFora ponta",Mercado_Receita!$L$2:$L$174)+SUMIF(Mercado_Receita!$S$2:$S$174,"44713B1ConvencionalResidencialResidencial baixa renda – faixa 04Não se aplicaNão se aplicaIntermediário",Mercado_Receita!$L$2:$L$174)+SUMIF(Mercado_Receita!$S$2:$S$174,"44713B1ConvencionalResidencialResidencial baixa renda – faixa 04Não se aplicaNão se aplicaNão se aplica",Mercado_Receita!$L$2:$L$174)</f>
        <v>10.398</v>
      </c>
      <c r="Q21" s="13">
        <f>SUMIF(Mercado_Receita!$S$2:$S$174,"44743B1ConvencionalResidencialResidencial baixa renda – faixa 04Não se aplicaNão se aplicaPonta",Mercado_Receita!$L$2:$L$174)+SUMIF(Mercado_Receita!$S$2:$S$174,"44743B1ConvencionalResidencialResidencial baixa renda – faixa 04Não se aplicaNão se aplicaFora ponta",Mercado_Receita!$L$2:$L$174)+SUMIF(Mercado_Receita!$S$2:$S$174,"44743B1ConvencionalResidencialResidencial baixa renda – faixa 04Não se aplicaNão se aplicaIntermediário",Mercado_Receita!$L$2:$L$174)+SUMIF(Mercado_Receita!$S$2:$S$174,"44743B1ConvencionalResidencialResidencial baixa renda – faixa 04Não se aplicaNão se aplicaNão se aplica",Mercado_Receita!$L$2:$L$174)</f>
        <v>12.074999999999999</v>
      </c>
      <c r="R21" s="13">
        <f>SUMIF(Mercado_Receita!$S$2:$S$174,"44774B1ConvencionalResidencialResidencial baixa renda – faixa 04Não se aplicaNão se aplicaPonta",Mercado_Receita!$L$2:$L$174)+SUMIF(Mercado_Receita!$S$2:$S$174,"44774B1ConvencionalResidencialResidencial baixa renda – faixa 04Não se aplicaNão se aplicaFora ponta",Mercado_Receita!$L$2:$L$174)+SUMIF(Mercado_Receita!$S$2:$S$174,"44774B1ConvencionalResidencialResidencial baixa renda – faixa 04Não se aplicaNão se aplicaIntermediário",Mercado_Receita!$L$2:$L$174)+SUMIF(Mercado_Receita!$S$2:$S$174,"44774B1ConvencionalResidencialResidencial baixa renda – faixa 04Não se aplicaNão se aplicaNão se aplica",Mercado_Receita!$L$2:$L$174)</f>
        <v>12.263</v>
      </c>
      <c r="S21" s="13">
        <f>SUMIF(Mercado_Receita!$S$2:$S$174,"44805B1ConvencionalResidencialResidencial baixa renda – faixa 04Não se aplicaNão se aplicaPonta",Mercado_Receita!$L$2:$L$174)+SUMIF(Mercado_Receita!$S$2:$S$174,"44805B1ConvencionalResidencialResidencial baixa renda – faixa 04Não se aplicaNão se aplicaFora ponta",Mercado_Receita!$L$2:$L$174)+SUMIF(Mercado_Receita!$S$2:$S$174,"44805B1ConvencionalResidencialResidencial baixa renda – faixa 04Não se aplicaNão se aplicaIntermediário",Mercado_Receita!$L$2:$L$174)+SUMIF(Mercado_Receita!$S$2:$S$174,"44805B1ConvencionalResidencialResidencial baixa renda – faixa 04Não se aplicaNão se aplicaNão se aplica",Mercado_Receita!$L$2:$L$174)</f>
        <v>10.863</v>
      </c>
      <c r="T21" s="13">
        <f>SUMIF(Mercado_Receita!$S$2:$S$174,"44835B1ConvencionalResidencialResidencial baixa renda – faixa 04Não se aplicaNão se aplicaPonta",Mercado_Receita!$L$2:$L$174)+SUMIF(Mercado_Receita!$S$2:$S$174,"44835B1ConvencionalResidencialResidencial baixa renda – faixa 04Não se aplicaNão se aplicaFora ponta",Mercado_Receita!$L$2:$L$174)+SUMIF(Mercado_Receita!$S$2:$S$174,"44835B1ConvencionalResidencialResidencial baixa renda – faixa 04Não se aplicaNão se aplicaIntermediário",Mercado_Receita!$L$2:$L$174)+SUMIF(Mercado_Receita!$S$2:$S$174,"44835B1ConvencionalResidencialResidencial baixa renda – faixa 04Não se aplicaNão se aplicaNão se aplica",Mercado_Receita!$L$2:$L$174)</f>
        <v>13.429</v>
      </c>
      <c r="U21" s="13">
        <f t="shared" si="0"/>
        <v>81.510999999999996</v>
      </c>
      <c r="V21" s="13"/>
      <c r="W21" s="13"/>
    </row>
    <row r="22" spans="1:23" ht="11.25" customHeight="1" x14ac:dyDescent="0.25">
      <c r="A22" s="89"/>
      <c r="B22" s="88" t="s">
        <v>78</v>
      </c>
      <c r="C22" s="88" t="s">
        <v>24</v>
      </c>
      <c r="D22" s="12" t="s">
        <v>24</v>
      </c>
      <c r="E22" s="12" t="s">
        <v>25</v>
      </c>
      <c r="F22" s="12" t="s">
        <v>25</v>
      </c>
      <c r="G22" s="13" t="s">
        <v>67</v>
      </c>
      <c r="H22" s="13" t="s">
        <v>60</v>
      </c>
      <c r="I22" s="13">
        <f>SUMIF(Mercado_Receita!$S$2:$S$174,"44501B1Convencional pré-pagamentoResidencialResidencialNão se aplicaNão se aplicaPonta",Mercado_Receita!$L$2:$L$174)+SUMIF(Mercado_Receita!$S$2:$S$174,"44501B1Convencional pré-pagamentoResidencialResidencialNão se aplicaNão se aplicaFora ponta",Mercado_Receita!$L$2:$L$174)+SUMIF(Mercado_Receita!$S$2:$S$174,"44501B1Convencional pré-pagamentoResidencialResidencialNão se aplicaNão se aplicaIntermediário",Mercado_Receita!$L$2:$L$174)+SUMIF(Mercado_Receita!$S$2:$S$174,"44501B1Convencional pré-pagamentoResidencialResidencialNão se aplicaNão se aplicaNão se aplica",Mercado_Receita!$L$2:$L$174)</f>
        <v>0</v>
      </c>
      <c r="J22" s="13">
        <f>SUMIF(Mercado_Receita!$S$2:$S$174,"44531B1Convencional pré-pagamentoResidencialResidencialNão se aplicaNão se aplicaPonta",Mercado_Receita!$L$2:$L$174)+SUMIF(Mercado_Receita!$S$2:$S$174,"44531B1Convencional pré-pagamentoResidencialResidencialNão se aplicaNão se aplicaFora ponta",Mercado_Receita!$L$2:$L$174)+SUMIF(Mercado_Receita!$S$2:$S$174,"44531B1Convencional pré-pagamentoResidencialResidencialNão se aplicaNão se aplicaIntermediário",Mercado_Receita!$L$2:$L$174)+SUMIF(Mercado_Receita!$S$2:$S$174,"44531B1Convencional pré-pagamentoResidencialResidencialNão se aplicaNão se aplicaNão se aplica",Mercado_Receita!$L$2:$L$174)</f>
        <v>0</v>
      </c>
      <c r="K22" s="13">
        <f>SUMIF(Mercado_Receita!$S$2:$S$174,"44562B1Convencional pré-pagamentoResidencialResidencialNão se aplicaNão se aplicaPonta",Mercado_Receita!$L$2:$L$174)+SUMIF(Mercado_Receita!$S$2:$S$174,"44562B1Convencional pré-pagamentoResidencialResidencialNão se aplicaNão se aplicaFora ponta",Mercado_Receita!$L$2:$L$174)+SUMIF(Mercado_Receita!$S$2:$S$174,"44562B1Convencional pré-pagamentoResidencialResidencialNão se aplicaNão se aplicaIntermediário",Mercado_Receita!$L$2:$L$174)+SUMIF(Mercado_Receita!$S$2:$S$174,"44562B1Convencional pré-pagamentoResidencialResidencialNão se aplicaNão se aplicaNão se aplica",Mercado_Receita!$L$2:$L$174)</f>
        <v>0</v>
      </c>
      <c r="L22" s="13">
        <f>SUMIF(Mercado_Receita!$S$2:$S$174,"44593B1Convencional pré-pagamentoResidencialResidencialNão se aplicaNão se aplicaPonta",Mercado_Receita!$L$2:$L$174)+SUMIF(Mercado_Receita!$S$2:$S$174,"44593B1Convencional pré-pagamentoResidencialResidencialNão se aplicaNão se aplicaFora ponta",Mercado_Receita!$L$2:$L$174)+SUMIF(Mercado_Receita!$S$2:$S$174,"44593B1Convencional pré-pagamentoResidencialResidencialNão se aplicaNão se aplicaIntermediário",Mercado_Receita!$L$2:$L$174)+SUMIF(Mercado_Receita!$S$2:$S$174,"44593B1Convencional pré-pagamentoResidencialResidencialNão se aplicaNão se aplicaNão se aplica",Mercado_Receita!$L$2:$L$174)</f>
        <v>0</v>
      </c>
      <c r="M22" s="13">
        <f>SUMIF(Mercado_Receita!$S$2:$S$174,"44621B1Convencional pré-pagamentoResidencialResidencialNão se aplicaNão se aplicaPonta",Mercado_Receita!$L$2:$L$174)+SUMIF(Mercado_Receita!$S$2:$S$174,"44621B1Convencional pré-pagamentoResidencialResidencialNão se aplicaNão se aplicaFora ponta",Mercado_Receita!$L$2:$L$174)+SUMIF(Mercado_Receita!$S$2:$S$174,"44621B1Convencional pré-pagamentoResidencialResidencialNão se aplicaNão se aplicaIntermediário",Mercado_Receita!$L$2:$L$174)+SUMIF(Mercado_Receita!$S$2:$S$174,"44621B1Convencional pré-pagamentoResidencialResidencialNão se aplicaNão se aplicaNão se aplica",Mercado_Receita!$L$2:$L$174)</f>
        <v>0</v>
      </c>
      <c r="N22" s="13">
        <f>SUMIF(Mercado_Receita!$S$2:$S$174,"44652B1Convencional pré-pagamentoResidencialResidencialNão se aplicaNão se aplicaPonta",Mercado_Receita!$L$2:$L$174)+SUMIF(Mercado_Receita!$S$2:$S$174,"44652B1Convencional pré-pagamentoResidencialResidencialNão se aplicaNão se aplicaFora ponta",Mercado_Receita!$L$2:$L$174)+SUMIF(Mercado_Receita!$S$2:$S$174,"44652B1Convencional pré-pagamentoResidencialResidencialNão se aplicaNão se aplicaIntermediário",Mercado_Receita!$L$2:$L$174)+SUMIF(Mercado_Receita!$S$2:$S$174,"44652B1Convencional pré-pagamentoResidencialResidencialNão se aplicaNão se aplicaNão se aplica",Mercado_Receita!$L$2:$L$174)</f>
        <v>0</v>
      </c>
      <c r="O22" s="13">
        <f>SUMIF(Mercado_Receita!$S$2:$S$174,"44682B1Convencional pré-pagamentoResidencialResidencialNão se aplicaNão se aplicaPonta",Mercado_Receita!$L$2:$L$174)+SUMIF(Mercado_Receita!$S$2:$S$174,"44682B1Convencional pré-pagamentoResidencialResidencialNão se aplicaNão se aplicaFora ponta",Mercado_Receita!$L$2:$L$174)+SUMIF(Mercado_Receita!$S$2:$S$174,"44682B1Convencional pré-pagamentoResidencialResidencialNão se aplicaNão se aplicaIntermediário",Mercado_Receita!$L$2:$L$174)+SUMIF(Mercado_Receita!$S$2:$S$174,"44682B1Convencional pré-pagamentoResidencialResidencialNão se aplicaNão se aplicaNão se aplica",Mercado_Receita!$L$2:$L$174)</f>
        <v>0</v>
      </c>
      <c r="P22" s="13">
        <f>SUMIF(Mercado_Receita!$S$2:$S$174,"44713B1Convencional pré-pagamentoResidencialResidencialNão se aplicaNão se aplicaPonta",Mercado_Receita!$L$2:$L$174)+SUMIF(Mercado_Receita!$S$2:$S$174,"44713B1Convencional pré-pagamentoResidencialResidencialNão se aplicaNão se aplicaFora ponta",Mercado_Receita!$L$2:$L$174)+SUMIF(Mercado_Receita!$S$2:$S$174,"44713B1Convencional pré-pagamentoResidencialResidencialNão se aplicaNão se aplicaIntermediário",Mercado_Receita!$L$2:$L$174)+SUMIF(Mercado_Receita!$S$2:$S$174,"44713B1Convencional pré-pagamentoResidencialResidencialNão se aplicaNão se aplicaNão se aplica",Mercado_Receita!$L$2:$L$174)</f>
        <v>0</v>
      </c>
      <c r="Q22" s="13">
        <f>SUMIF(Mercado_Receita!$S$2:$S$174,"44743B1Convencional pré-pagamentoResidencialResidencialNão se aplicaNão se aplicaPonta",Mercado_Receita!$L$2:$L$174)+SUMIF(Mercado_Receita!$S$2:$S$174,"44743B1Convencional pré-pagamentoResidencialResidencialNão se aplicaNão se aplicaFora ponta",Mercado_Receita!$L$2:$L$174)+SUMIF(Mercado_Receita!$S$2:$S$174,"44743B1Convencional pré-pagamentoResidencialResidencialNão se aplicaNão se aplicaIntermediário",Mercado_Receita!$L$2:$L$174)+SUMIF(Mercado_Receita!$S$2:$S$174,"44743B1Convencional pré-pagamentoResidencialResidencialNão se aplicaNão se aplicaNão se aplica",Mercado_Receita!$L$2:$L$174)</f>
        <v>0</v>
      </c>
      <c r="R22" s="13">
        <f>SUMIF(Mercado_Receita!$S$2:$S$174,"44774B1Convencional pré-pagamentoResidencialResidencialNão se aplicaNão se aplicaPonta",Mercado_Receita!$L$2:$L$174)+SUMIF(Mercado_Receita!$S$2:$S$174,"44774B1Convencional pré-pagamentoResidencialResidencialNão se aplicaNão se aplicaFora ponta",Mercado_Receita!$L$2:$L$174)+SUMIF(Mercado_Receita!$S$2:$S$174,"44774B1Convencional pré-pagamentoResidencialResidencialNão se aplicaNão se aplicaIntermediário",Mercado_Receita!$L$2:$L$174)+SUMIF(Mercado_Receita!$S$2:$S$174,"44774B1Convencional pré-pagamentoResidencialResidencialNão se aplicaNão se aplicaNão se aplica",Mercado_Receita!$L$2:$L$174)</f>
        <v>0</v>
      </c>
      <c r="S22" s="13">
        <f>SUMIF(Mercado_Receita!$S$2:$S$174,"44805B1Convencional pré-pagamentoResidencialResidencialNão se aplicaNão se aplicaPonta",Mercado_Receita!$L$2:$L$174)+SUMIF(Mercado_Receita!$S$2:$S$174,"44805B1Convencional pré-pagamentoResidencialResidencialNão se aplicaNão se aplicaFora ponta",Mercado_Receita!$L$2:$L$174)+SUMIF(Mercado_Receita!$S$2:$S$174,"44805B1Convencional pré-pagamentoResidencialResidencialNão se aplicaNão se aplicaIntermediário",Mercado_Receita!$L$2:$L$174)+SUMIF(Mercado_Receita!$S$2:$S$174,"44805B1Convencional pré-pagamentoResidencialResidencialNão se aplicaNão se aplicaNão se aplica",Mercado_Receita!$L$2:$L$174)</f>
        <v>0</v>
      </c>
      <c r="T22" s="13">
        <f>SUMIF(Mercado_Receita!$S$2:$S$174,"44835B1Convencional pré-pagamentoResidencialResidencialNão se aplicaNão se aplicaPonta",Mercado_Receita!$L$2:$L$174)+SUMIF(Mercado_Receita!$S$2:$S$174,"44835B1Convencional pré-pagamentoResidencialResidencialNão se aplicaNão se aplicaFora ponta",Mercado_Receita!$L$2:$L$174)+SUMIF(Mercado_Receita!$S$2:$S$174,"44835B1Convencional pré-pagamentoResidencialResidencialNão se aplicaNão se aplicaIntermediário",Mercado_Receita!$L$2:$L$174)+SUMIF(Mercado_Receita!$S$2:$S$174,"44835B1Convencional pré-pagamentoResidencialResidencialNão se aplicaNão se aplicaNão se aplica",Mercado_Receita!$L$2:$L$174)</f>
        <v>0</v>
      </c>
      <c r="U22" s="13">
        <f t="shared" si="0"/>
        <v>0</v>
      </c>
      <c r="V22" s="13"/>
      <c r="W22" s="13"/>
    </row>
    <row r="23" spans="1:23" ht="11.25" customHeight="1" x14ac:dyDescent="0.25">
      <c r="A23" s="89"/>
      <c r="B23" s="89"/>
      <c r="C23" s="89"/>
      <c r="D23" s="12" t="s">
        <v>41</v>
      </c>
      <c r="E23" s="12" t="s">
        <v>25</v>
      </c>
      <c r="F23" s="12" t="s">
        <v>25</v>
      </c>
      <c r="G23" s="13" t="s">
        <v>67</v>
      </c>
      <c r="H23" s="13" t="s">
        <v>60</v>
      </c>
      <c r="I23" s="13">
        <f>SUMIF(Mercado_Receita!$S$2:$S$174,"44501B1Convencional pré-pagamentoResidencialResidencial baixa renda – faixa 01Não se aplicaNão se aplicaPonta",Mercado_Receita!$L$2:$L$174)+SUMIF(Mercado_Receita!$S$2:$S$174,"44501B1Convencional pré-pagamentoResidencialResidencial baixa renda – faixa 01Não se aplicaNão se aplicaFora ponta",Mercado_Receita!$L$2:$L$174)+SUMIF(Mercado_Receita!$S$2:$S$174,"44501B1Convencional pré-pagamentoResidencialResidencial baixa renda – faixa 01Não se aplicaNão se aplicaIntermediário",Mercado_Receita!$L$2:$L$174)+SUMIF(Mercado_Receita!$S$2:$S$174,"44501B1Convencional pré-pagamentoResidencialResidencial baixa renda – faixa 01Não se aplicaNão se aplicaNão se aplica",Mercado_Receita!$L$2:$L$174)</f>
        <v>0</v>
      </c>
      <c r="J23" s="13">
        <f>SUMIF(Mercado_Receita!$S$2:$S$174,"44531B1Convencional pré-pagamentoResidencialResidencial baixa renda – faixa 01Não se aplicaNão se aplicaPonta",Mercado_Receita!$L$2:$L$174)+SUMIF(Mercado_Receita!$S$2:$S$174,"44531B1Convencional pré-pagamentoResidencialResidencial baixa renda – faixa 01Não se aplicaNão se aplicaFora ponta",Mercado_Receita!$L$2:$L$174)+SUMIF(Mercado_Receita!$S$2:$S$174,"44531B1Convencional pré-pagamentoResidencialResidencial baixa renda – faixa 01Não se aplicaNão se aplicaIntermediário",Mercado_Receita!$L$2:$L$174)+SUMIF(Mercado_Receita!$S$2:$S$174,"44531B1Convencional pré-pagamentoResidencialResidencial baixa renda – faixa 01Não se aplicaNão se aplicaNão se aplica",Mercado_Receita!$L$2:$L$174)</f>
        <v>0</v>
      </c>
      <c r="K23" s="13">
        <f>SUMIF(Mercado_Receita!$S$2:$S$174,"44562B1Convencional pré-pagamentoResidencialResidencial baixa renda – faixa 01Não se aplicaNão se aplicaPonta",Mercado_Receita!$L$2:$L$174)+SUMIF(Mercado_Receita!$S$2:$S$174,"44562B1Convencional pré-pagamentoResidencialResidencial baixa renda – faixa 01Não se aplicaNão se aplicaFora ponta",Mercado_Receita!$L$2:$L$174)+SUMIF(Mercado_Receita!$S$2:$S$174,"44562B1Convencional pré-pagamentoResidencialResidencial baixa renda – faixa 01Não se aplicaNão se aplicaIntermediário",Mercado_Receita!$L$2:$L$174)+SUMIF(Mercado_Receita!$S$2:$S$174,"44562B1Convencional pré-pagamentoResidencialResidencial baixa renda – faixa 01Não se aplicaNão se aplicaNão se aplica",Mercado_Receita!$L$2:$L$174)</f>
        <v>0</v>
      </c>
      <c r="L23" s="13">
        <f>SUMIF(Mercado_Receita!$S$2:$S$174,"44593B1Convencional pré-pagamentoResidencialResidencial baixa renda – faixa 01Não se aplicaNão se aplicaPonta",Mercado_Receita!$L$2:$L$174)+SUMIF(Mercado_Receita!$S$2:$S$174,"44593B1Convencional pré-pagamentoResidencialResidencial baixa renda – faixa 01Não se aplicaNão se aplicaFora ponta",Mercado_Receita!$L$2:$L$174)+SUMIF(Mercado_Receita!$S$2:$S$174,"44593B1Convencional pré-pagamentoResidencialResidencial baixa renda – faixa 01Não se aplicaNão se aplicaIntermediário",Mercado_Receita!$L$2:$L$174)+SUMIF(Mercado_Receita!$S$2:$S$174,"44593B1Convencional pré-pagamentoResidencialResidencial baixa renda – faixa 01Não se aplicaNão se aplicaNão se aplica",Mercado_Receita!$L$2:$L$174)</f>
        <v>0</v>
      </c>
      <c r="M23" s="13">
        <f>SUMIF(Mercado_Receita!$S$2:$S$174,"44621B1Convencional pré-pagamentoResidencialResidencial baixa renda – faixa 01Não se aplicaNão se aplicaPonta",Mercado_Receita!$L$2:$L$174)+SUMIF(Mercado_Receita!$S$2:$S$174,"44621B1Convencional pré-pagamentoResidencialResidencial baixa renda – faixa 01Não se aplicaNão se aplicaFora ponta",Mercado_Receita!$L$2:$L$174)+SUMIF(Mercado_Receita!$S$2:$S$174,"44621B1Convencional pré-pagamentoResidencialResidencial baixa renda – faixa 01Não se aplicaNão se aplicaIntermediário",Mercado_Receita!$L$2:$L$174)+SUMIF(Mercado_Receita!$S$2:$S$174,"44621B1Convencional pré-pagamentoResidencialResidencial baixa renda – faixa 01Não se aplicaNão se aplicaNão se aplica",Mercado_Receita!$L$2:$L$174)</f>
        <v>0</v>
      </c>
      <c r="N23" s="13">
        <f>SUMIF(Mercado_Receita!$S$2:$S$174,"44652B1Convencional pré-pagamentoResidencialResidencial baixa renda – faixa 01Não se aplicaNão se aplicaPonta",Mercado_Receita!$L$2:$L$174)+SUMIF(Mercado_Receita!$S$2:$S$174,"44652B1Convencional pré-pagamentoResidencialResidencial baixa renda – faixa 01Não se aplicaNão se aplicaFora ponta",Mercado_Receita!$L$2:$L$174)+SUMIF(Mercado_Receita!$S$2:$S$174,"44652B1Convencional pré-pagamentoResidencialResidencial baixa renda – faixa 01Não se aplicaNão se aplicaIntermediário",Mercado_Receita!$L$2:$L$174)+SUMIF(Mercado_Receita!$S$2:$S$174,"44652B1Convencional pré-pagamentoResidencialResidencial baixa renda – faixa 01Não se aplicaNão se aplicaNão se aplica",Mercado_Receita!$L$2:$L$174)</f>
        <v>0</v>
      </c>
      <c r="O23" s="13">
        <f>SUMIF(Mercado_Receita!$S$2:$S$174,"44682B1Convencional pré-pagamentoResidencialResidencial baixa renda – faixa 01Não se aplicaNão se aplicaPonta",Mercado_Receita!$L$2:$L$174)+SUMIF(Mercado_Receita!$S$2:$S$174,"44682B1Convencional pré-pagamentoResidencialResidencial baixa renda – faixa 01Não se aplicaNão se aplicaFora ponta",Mercado_Receita!$L$2:$L$174)+SUMIF(Mercado_Receita!$S$2:$S$174,"44682B1Convencional pré-pagamentoResidencialResidencial baixa renda – faixa 01Não se aplicaNão se aplicaIntermediário",Mercado_Receita!$L$2:$L$174)+SUMIF(Mercado_Receita!$S$2:$S$174,"44682B1Convencional pré-pagamentoResidencialResidencial baixa renda – faixa 01Não se aplicaNão se aplicaNão se aplica",Mercado_Receita!$L$2:$L$174)</f>
        <v>0</v>
      </c>
      <c r="P23" s="13">
        <f>SUMIF(Mercado_Receita!$S$2:$S$174,"44713B1Convencional pré-pagamentoResidencialResidencial baixa renda – faixa 01Não se aplicaNão se aplicaPonta",Mercado_Receita!$L$2:$L$174)+SUMIF(Mercado_Receita!$S$2:$S$174,"44713B1Convencional pré-pagamentoResidencialResidencial baixa renda – faixa 01Não se aplicaNão se aplicaFora ponta",Mercado_Receita!$L$2:$L$174)+SUMIF(Mercado_Receita!$S$2:$S$174,"44713B1Convencional pré-pagamentoResidencialResidencial baixa renda – faixa 01Não se aplicaNão se aplicaIntermediário",Mercado_Receita!$L$2:$L$174)+SUMIF(Mercado_Receita!$S$2:$S$174,"44713B1Convencional pré-pagamentoResidencialResidencial baixa renda – faixa 01Não se aplicaNão se aplicaNão se aplica",Mercado_Receita!$L$2:$L$174)</f>
        <v>0</v>
      </c>
      <c r="Q23" s="13">
        <f>SUMIF(Mercado_Receita!$S$2:$S$174,"44743B1Convencional pré-pagamentoResidencialResidencial baixa renda – faixa 01Não se aplicaNão se aplicaPonta",Mercado_Receita!$L$2:$L$174)+SUMIF(Mercado_Receita!$S$2:$S$174,"44743B1Convencional pré-pagamentoResidencialResidencial baixa renda – faixa 01Não se aplicaNão se aplicaFora ponta",Mercado_Receita!$L$2:$L$174)+SUMIF(Mercado_Receita!$S$2:$S$174,"44743B1Convencional pré-pagamentoResidencialResidencial baixa renda – faixa 01Não se aplicaNão se aplicaIntermediário",Mercado_Receita!$L$2:$L$174)+SUMIF(Mercado_Receita!$S$2:$S$174,"44743B1Convencional pré-pagamentoResidencialResidencial baixa renda – faixa 01Não se aplicaNão se aplicaNão se aplica",Mercado_Receita!$L$2:$L$174)</f>
        <v>0</v>
      </c>
      <c r="R23" s="13">
        <f>SUMIF(Mercado_Receita!$S$2:$S$174,"44774B1Convencional pré-pagamentoResidencialResidencial baixa renda – faixa 01Não se aplicaNão se aplicaPonta",Mercado_Receita!$L$2:$L$174)+SUMIF(Mercado_Receita!$S$2:$S$174,"44774B1Convencional pré-pagamentoResidencialResidencial baixa renda – faixa 01Não se aplicaNão se aplicaFora ponta",Mercado_Receita!$L$2:$L$174)+SUMIF(Mercado_Receita!$S$2:$S$174,"44774B1Convencional pré-pagamentoResidencialResidencial baixa renda – faixa 01Não se aplicaNão se aplicaIntermediário",Mercado_Receita!$L$2:$L$174)+SUMIF(Mercado_Receita!$S$2:$S$174,"44774B1Convencional pré-pagamentoResidencialResidencial baixa renda – faixa 01Não se aplicaNão se aplicaNão se aplica",Mercado_Receita!$L$2:$L$174)</f>
        <v>0</v>
      </c>
      <c r="S23" s="13">
        <f>SUMIF(Mercado_Receita!$S$2:$S$174,"44805B1Convencional pré-pagamentoResidencialResidencial baixa renda – faixa 01Não se aplicaNão se aplicaPonta",Mercado_Receita!$L$2:$L$174)+SUMIF(Mercado_Receita!$S$2:$S$174,"44805B1Convencional pré-pagamentoResidencialResidencial baixa renda – faixa 01Não se aplicaNão se aplicaFora ponta",Mercado_Receita!$L$2:$L$174)+SUMIF(Mercado_Receita!$S$2:$S$174,"44805B1Convencional pré-pagamentoResidencialResidencial baixa renda – faixa 01Não se aplicaNão se aplicaIntermediário",Mercado_Receita!$L$2:$L$174)+SUMIF(Mercado_Receita!$S$2:$S$174,"44805B1Convencional pré-pagamentoResidencialResidencial baixa renda – faixa 01Não se aplicaNão se aplicaNão se aplica",Mercado_Receita!$L$2:$L$174)</f>
        <v>0</v>
      </c>
      <c r="T23" s="13">
        <f>SUMIF(Mercado_Receita!$S$2:$S$174,"44835B1Convencional pré-pagamentoResidencialResidencial baixa renda – faixa 01Não se aplicaNão se aplicaPonta",Mercado_Receita!$L$2:$L$174)+SUMIF(Mercado_Receita!$S$2:$S$174,"44835B1Convencional pré-pagamentoResidencialResidencial baixa renda – faixa 01Não se aplicaNão se aplicaFora ponta",Mercado_Receita!$L$2:$L$174)+SUMIF(Mercado_Receita!$S$2:$S$174,"44835B1Convencional pré-pagamentoResidencialResidencial baixa renda – faixa 01Não se aplicaNão se aplicaIntermediário",Mercado_Receita!$L$2:$L$174)+SUMIF(Mercado_Receita!$S$2:$S$174,"44835B1Convencional pré-pagamentoResidencialResidencial baixa renda – faixa 01Não se aplicaNão se aplicaNão se aplica",Mercado_Receita!$L$2:$L$174)</f>
        <v>0</v>
      </c>
      <c r="U23" s="13">
        <f t="shared" si="0"/>
        <v>0</v>
      </c>
      <c r="V23" s="13"/>
      <c r="W23" s="13"/>
    </row>
    <row r="24" spans="1:23" ht="11.25" customHeight="1" x14ac:dyDescent="0.25">
      <c r="A24" s="89"/>
      <c r="B24" s="89"/>
      <c r="C24" s="89"/>
      <c r="D24" s="12" t="s">
        <v>42</v>
      </c>
      <c r="E24" s="12" t="s">
        <v>25</v>
      </c>
      <c r="F24" s="12" t="s">
        <v>25</v>
      </c>
      <c r="G24" s="13" t="s">
        <v>67</v>
      </c>
      <c r="H24" s="13" t="s">
        <v>60</v>
      </c>
      <c r="I24" s="13">
        <f>SUMIF(Mercado_Receita!$S$2:$S$174,"44501B1Convencional pré-pagamentoResidencialResidencial baixa renda – faixa 02Não se aplicaNão se aplicaPonta",Mercado_Receita!$L$2:$L$174)+SUMIF(Mercado_Receita!$S$2:$S$174,"44501B1Convencional pré-pagamentoResidencialResidencial baixa renda – faixa 02Não se aplicaNão se aplicaFora ponta",Mercado_Receita!$L$2:$L$174)+SUMIF(Mercado_Receita!$S$2:$S$174,"44501B1Convencional pré-pagamentoResidencialResidencial baixa renda – faixa 02Não se aplicaNão se aplicaIntermediário",Mercado_Receita!$L$2:$L$174)+SUMIF(Mercado_Receita!$S$2:$S$174,"44501B1Convencional pré-pagamentoResidencialResidencial baixa renda – faixa 02Não se aplicaNão se aplicaNão se aplica",Mercado_Receita!$L$2:$L$174)</f>
        <v>0</v>
      </c>
      <c r="J24" s="13">
        <f>SUMIF(Mercado_Receita!$S$2:$S$174,"44531B1Convencional pré-pagamentoResidencialResidencial baixa renda – faixa 02Não se aplicaNão se aplicaPonta",Mercado_Receita!$L$2:$L$174)+SUMIF(Mercado_Receita!$S$2:$S$174,"44531B1Convencional pré-pagamentoResidencialResidencial baixa renda – faixa 02Não se aplicaNão se aplicaFora ponta",Mercado_Receita!$L$2:$L$174)+SUMIF(Mercado_Receita!$S$2:$S$174,"44531B1Convencional pré-pagamentoResidencialResidencial baixa renda – faixa 02Não se aplicaNão se aplicaIntermediário",Mercado_Receita!$L$2:$L$174)+SUMIF(Mercado_Receita!$S$2:$S$174,"44531B1Convencional pré-pagamentoResidencialResidencial baixa renda – faixa 02Não se aplicaNão se aplicaNão se aplica",Mercado_Receita!$L$2:$L$174)</f>
        <v>0</v>
      </c>
      <c r="K24" s="13">
        <f>SUMIF(Mercado_Receita!$S$2:$S$174,"44562B1Convencional pré-pagamentoResidencialResidencial baixa renda – faixa 02Não se aplicaNão se aplicaPonta",Mercado_Receita!$L$2:$L$174)+SUMIF(Mercado_Receita!$S$2:$S$174,"44562B1Convencional pré-pagamentoResidencialResidencial baixa renda – faixa 02Não se aplicaNão se aplicaFora ponta",Mercado_Receita!$L$2:$L$174)+SUMIF(Mercado_Receita!$S$2:$S$174,"44562B1Convencional pré-pagamentoResidencialResidencial baixa renda – faixa 02Não se aplicaNão se aplicaIntermediário",Mercado_Receita!$L$2:$L$174)+SUMIF(Mercado_Receita!$S$2:$S$174,"44562B1Convencional pré-pagamentoResidencialResidencial baixa renda – faixa 02Não se aplicaNão se aplicaNão se aplica",Mercado_Receita!$L$2:$L$174)</f>
        <v>0</v>
      </c>
      <c r="L24" s="13">
        <f>SUMIF(Mercado_Receita!$S$2:$S$174,"44593B1Convencional pré-pagamentoResidencialResidencial baixa renda – faixa 02Não se aplicaNão se aplicaPonta",Mercado_Receita!$L$2:$L$174)+SUMIF(Mercado_Receita!$S$2:$S$174,"44593B1Convencional pré-pagamentoResidencialResidencial baixa renda – faixa 02Não se aplicaNão se aplicaFora ponta",Mercado_Receita!$L$2:$L$174)+SUMIF(Mercado_Receita!$S$2:$S$174,"44593B1Convencional pré-pagamentoResidencialResidencial baixa renda – faixa 02Não se aplicaNão se aplicaIntermediário",Mercado_Receita!$L$2:$L$174)+SUMIF(Mercado_Receita!$S$2:$S$174,"44593B1Convencional pré-pagamentoResidencialResidencial baixa renda – faixa 02Não se aplicaNão se aplicaNão se aplica",Mercado_Receita!$L$2:$L$174)</f>
        <v>0</v>
      </c>
      <c r="M24" s="13">
        <f>SUMIF(Mercado_Receita!$S$2:$S$174,"44621B1Convencional pré-pagamentoResidencialResidencial baixa renda – faixa 02Não se aplicaNão se aplicaPonta",Mercado_Receita!$L$2:$L$174)+SUMIF(Mercado_Receita!$S$2:$S$174,"44621B1Convencional pré-pagamentoResidencialResidencial baixa renda – faixa 02Não se aplicaNão se aplicaFora ponta",Mercado_Receita!$L$2:$L$174)+SUMIF(Mercado_Receita!$S$2:$S$174,"44621B1Convencional pré-pagamentoResidencialResidencial baixa renda – faixa 02Não se aplicaNão se aplicaIntermediário",Mercado_Receita!$L$2:$L$174)+SUMIF(Mercado_Receita!$S$2:$S$174,"44621B1Convencional pré-pagamentoResidencialResidencial baixa renda – faixa 02Não se aplicaNão se aplicaNão se aplica",Mercado_Receita!$L$2:$L$174)</f>
        <v>0</v>
      </c>
      <c r="N24" s="13">
        <f>SUMIF(Mercado_Receita!$S$2:$S$174,"44652B1Convencional pré-pagamentoResidencialResidencial baixa renda – faixa 02Não se aplicaNão se aplicaPonta",Mercado_Receita!$L$2:$L$174)+SUMIF(Mercado_Receita!$S$2:$S$174,"44652B1Convencional pré-pagamentoResidencialResidencial baixa renda – faixa 02Não se aplicaNão se aplicaFora ponta",Mercado_Receita!$L$2:$L$174)+SUMIF(Mercado_Receita!$S$2:$S$174,"44652B1Convencional pré-pagamentoResidencialResidencial baixa renda – faixa 02Não se aplicaNão se aplicaIntermediário",Mercado_Receita!$L$2:$L$174)+SUMIF(Mercado_Receita!$S$2:$S$174,"44652B1Convencional pré-pagamentoResidencialResidencial baixa renda – faixa 02Não se aplicaNão se aplicaNão se aplica",Mercado_Receita!$L$2:$L$174)</f>
        <v>0</v>
      </c>
      <c r="O24" s="13">
        <f>SUMIF(Mercado_Receita!$S$2:$S$174,"44682B1Convencional pré-pagamentoResidencialResidencial baixa renda – faixa 02Não se aplicaNão se aplicaPonta",Mercado_Receita!$L$2:$L$174)+SUMIF(Mercado_Receita!$S$2:$S$174,"44682B1Convencional pré-pagamentoResidencialResidencial baixa renda – faixa 02Não se aplicaNão se aplicaFora ponta",Mercado_Receita!$L$2:$L$174)+SUMIF(Mercado_Receita!$S$2:$S$174,"44682B1Convencional pré-pagamentoResidencialResidencial baixa renda – faixa 02Não se aplicaNão se aplicaIntermediário",Mercado_Receita!$L$2:$L$174)+SUMIF(Mercado_Receita!$S$2:$S$174,"44682B1Convencional pré-pagamentoResidencialResidencial baixa renda – faixa 02Não se aplicaNão se aplicaNão se aplica",Mercado_Receita!$L$2:$L$174)</f>
        <v>0</v>
      </c>
      <c r="P24" s="13">
        <f>SUMIF(Mercado_Receita!$S$2:$S$174,"44713B1Convencional pré-pagamentoResidencialResidencial baixa renda – faixa 02Não se aplicaNão se aplicaPonta",Mercado_Receita!$L$2:$L$174)+SUMIF(Mercado_Receita!$S$2:$S$174,"44713B1Convencional pré-pagamentoResidencialResidencial baixa renda – faixa 02Não se aplicaNão se aplicaFora ponta",Mercado_Receita!$L$2:$L$174)+SUMIF(Mercado_Receita!$S$2:$S$174,"44713B1Convencional pré-pagamentoResidencialResidencial baixa renda – faixa 02Não se aplicaNão se aplicaIntermediário",Mercado_Receita!$L$2:$L$174)+SUMIF(Mercado_Receita!$S$2:$S$174,"44713B1Convencional pré-pagamentoResidencialResidencial baixa renda – faixa 02Não se aplicaNão se aplicaNão se aplica",Mercado_Receita!$L$2:$L$174)</f>
        <v>0</v>
      </c>
      <c r="Q24" s="13">
        <f>SUMIF(Mercado_Receita!$S$2:$S$174,"44743B1Convencional pré-pagamentoResidencialResidencial baixa renda – faixa 02Não se aplicaNão se aplicaPonta",Mercado_Receita!$L$2:$L$174)+SUMIF(Mercado_Receita!$S$2:$S$174,"44743B1Convencional pré-pagamentoResidencialResidencial baixa renda – faixa 02Não se aplicaNão se aplicaFora ponta",Mercado_Receita!$L$2:$L$174)+SUMIF(Mercado_Receita!$S$2:$S$174,"44743B1Convencional pré-pagamentoResidencialResidencial baixa renda – faixa 02Não se aplicaNão se aplicaIntermediário",Mercado_Receita!$L$2:$L$174)+SUMIF(Mercado_Receita!$S$2:$S$174,"44743B1Convencional pré-pagamentoResidencialResidencial baixa renda – faixa 02Não se aplicaNão se aplicaNão se aplica",Mercado_Receita!$L$2:$L$174)</f>
        <v>0</v>
      </c>
      <c r="R24" s="13">
        <f>SUMIF(Mercado_Receita!$S$2:$S$174,"44774B1Convencional pré-pagamentoResidencialResidencial baixa renda – faixa 02Não se aplicaNão se aplicaPonta",Mercado_Receita!$L$2:$L$174)+SUMIF(Mercado_Receita!$S$2:$S$174,"44774B1Convencional pré-pagamentoResidencialResidencial baixa renda – faixa 02Não se aplicaNão se aplicaFora ponta",Mercado_Receita!$L$2:$L$174)+SUMIF(Mercado_Receita!$S$2:$S$174,"44774B1Convencional pré-pagamentoResidencialResidencial baixa renda – faixa 02Não se aplicaNão se aplicaIntermediário",Mercado_Receita!$L$2:$L$174)+SUMIF(Mercado_Receita!$S$2:$S$174,"44774B1Convencional pré-pagamentoResidencialResidencial baixa renda – faixa 02Não se aplicaNão se aplicaNão se aplica",Mercado_Receita!$L$2:$L$174)</f>
        <v>0</v>
      </c>
      <c r="S24" s="13">
        <f>SUMIF(Mercado_Receita!$S$2:$S$174,"44805B1Convencional pré-pagamentoResidencialResidencial baixa renda – faixa 02Não se aplicaNão se aplicaPonta",Mercado_Receita!$L$2:$L$174)+SUMIF(Mercado_Receita!$S$2:$S$174,"44805B1Convencional pré-pagamentoResidencialResidencial baixa renda – faixa 02Não se aplicaNão se aplicaFora ponta",Mercado_Receita!$L$2:$L$174)+SUMIF(Mercado_Receita!$S$2:$S$174,"44805B1Convencional pré-pagamentoResidencialResidencial baixa renda – faixa 02Não se aplicaNão se aplicaIntermediário",Mercado_Receita!$L$2:$L$174)+SUMIF(Mercado_Receita!$S$2:$S$174,"44805B1Convencional pré-pagamentoResidencialResidencial baixa renda – faixa 02Não se aplicaNão se aplicaNão se aplica",Mercado_Receita!$L$2:$L$174)</f>
        <v>0</v>
      </c>
      <c r="T24" s="13">
        <f>SUMIF(Mercado_Receita!$S$2:$S$174,"44835B1Convencional pré-pagamentoResidencialResidencial baixa renda – faixa 02Não se aplicaNão se aplicaPonta",Mercado_Receita!$L$2:$L$174)+SUMIF(Mercado_Receita!$S$2:$S$174,"44835B1Convencional pré-pagamentoResidencialResidencial baixa renda – faixa 02Não se aplicaNão se aplicaFora ponta",Mercado_Receita!$L$2:$L$174)+SUMIF(Mercado_Receita!$S$2:$S$174,"44835B1Convencional pré-pagamentoResidencialResidencial baixa renda – faixa 02Não se aplicaNão se aplicaIntermediário",Mercado_Receita!$L$2:$L$174)+SUMIF(Mercado_Receita!$S$2:$S$174,"44835B1Convencional pré-pagamentoResidencialResidencial baixa renda – faixa 02Não se aplicaNão se aplicaNão se aplica",Mercado_Receita!$L$2:$L$174)</f>
        <v>0</v>
      </c>
      <c r="U24" s="13">
        <f t="shared" si="0"/>
        <v>0</v>
      </c>
      <c r="V24" s="13"/>
      <c r="W24" s="13"/>
    </row>
    <row r="25" spans="1:23" ht="11.25" customHeight="1" x14ac:dyDescent="0.25">
      <c r="A25" s="89"/>
      <c r="B25" s="89"/>
      <c r="C25" s="89"/>
      <c r="D25" s="12" t="s">
        <v>39</v>
      </c>
      <c r="E25" s="12" t="s">
        <v>25</v>
      </c>
      <c r="F25" s="12" t="s">
        <v>25</v>
      </c>
      <c r="G25" s="13" t="s">
        <v>67</v>
      </c>
      <c r="H25" s="13" t="s">
        <v>60</v>
      </c>
      <c r="I25" s="13">
        <f>SUMIF(Mercado_Receita!$S$2:$S$174,"44501B1Convencional pré-pagamentoResidencialResidencial baixa renda – faixa 03Não se aplicaNão se aplicaPonta",Mercado_Receita!$L$2:$L$174)+SUMIF(Mercado_Receita!$S$2:$S$174,"44501B1Convencional pré-pagamentoResidencialResidencial baixa renda – faixa 03Não se aplicaNão se aplicaFora ponta",Mercado_Receita!$L$2:$L$174)+SUMIF(Mercado_Receita!$S$2:$S$174,"44501B1Convencional pré-pagamentoResidencialResidencial baixa renda – faixa 03Não se aplicaNão se aplicaIntermediário",Mercado_Receita!$L$2:$L$174)+SUMIF(Mercado_Receita!$S$2:$S$174,"44501B1Convencional pré-pagamentoResidencialResidencial baixa renda – faixa 03Não se aplicaNão se aplicaNão se aplica",Mercado_Receita!$L$2:$L$174)</f>
        <v>0</v>
      </c>
      <c r="J25" s="13">
        <f>SUMIF(Mercado_Receita!$S$2:$S$174,"44531B1Convencional pré-pagamentoResidencialResidencial baixa renda – faixa 03Não se aplicaNão se aplicaPonta",Mercado_Receita!$L$2:$L$174)+SUMIF(Mercado_Receita!$S$2:$S$174,"44531B1Convencional pré-pagamentoResidencialResidencial baixa renda – faixa 03Não se aplicaNão se aplicaFora ponta",Mercado_Receita!$L$2:$L$174)+SUMIF(Mercado_Receita!$S$2:$S$174,"44531B1Convencional pré-pagamentoResidencialResidencial baixa renda – faixa 03Não se aplicaNão se aplicaIntermediário",Mercado_Receita!$L$2:$L$174)+SUMIF(Mercado_Receita!$S$2:$S$174,"44531B1Convencional pré-pagamentoResidencialResidencial baixa renda – faixa 03Não se aplicaNão se aplicaNão se aplica",Mercado_Receita!$L$2:$L$174)</f>
        <v>0</v>
      </c>
      <c r="K25" s="13">
        <f>SUMIF(Mercado_Receita!$S$2:$S$174,"44562B1Convencional pré-pagamentoResidencialResidencial baixa renda – faixa 03Não se aplicaNão se aplicaPonta",Mercado_Receita!$L$2:$L$174)+SUMIF(Mercado_Receita!$S$2:$S$174,"44562B1Convencional pré-pagamentoResidencialResidencial baixa renda – faixa 03Não se aplicaNão se aplicaFora ponta",Mercado_Receita!$L$2:$L$174)+SUMIF(Mercado_Receita!$S$2:$S$174,"44562B1Convencional pré-pagamentoResidencialResidencial baixa renda – faixa 03Não se aplicaNão se aplicaIntermediário",Mercado_Receita!$L$2:$L$174)+SUMIF(Mercado_Receita!$S$2:$S$174,"44562B1Convencional pré-pagamentoResidencialResidencial baixa renda – faixa 03Não se aplicaNão se aplicaNão se aplica",Mercado_Receita!$L$2:$L$174)</f>
        <v>0</v>
      </c>
      <c r="L25" s="13">
        <f>SUMIF(Mercado_Receita!$S$2:$S$174,"44593B1Convencional pré-pagamentoResidencialResidencial baixa renda – faixa 03Não se aplicaNão se aplicaPonta",Mercado_Receita!$L$2:$L$174)+SUMIF(Mercado_Receita!$S$2:$S$174,"44593B1Convencional pré-pagamentoResidencialResidencial baixa renda – faixa 03Não se aplicaNão se aplicaFora ponta",Mercado_Receita!$L$2:$L$174)+SUMIF(Mercado_Receita!$S$2:$S$174,"44593B1Convencional pré-pagamentoResidencialResidencial baixa renda – faixa 03Não se aplicaNão se aplicaIntermediário",Mercado_Receita!$L$2:$L$174)+SUMIF(Mercado_Receita!$S$2:$S$174,"44593B1Convencional pré-pagamentoResidencialResidencial baixa renda – faixa 03Não se aplicaNão se aplicaNão se aplica",Mercado_Receita!$L$2:$L$174)</f>
        <v>0</v>
      </c>
      <c r="M25" s="13">
        <f>SUMIF(Mercado_Receita!$S$2:$S$174,"44621B1Convencional pré-pagamentoResidencialResidencial baixa renda – faixa 03Não se aplicaNão se aplicaPonta",Mercado_Receita!$L$2:$L$174)+SUMIF(Mercado_Receita!$S$2:$S$174,"44621B1Convencional pré-pagamentoResidencialResidencial baixa renda – faixa 03Não se aplicaNão se aplicaFora ponta",Mercado_Receita!$L$2:$L$174)+SUMIF(Mercado_Receita!$S$2:$S$174,"44621B1Convencional pré-pagamentoResidencialResidencial baixa renda – faixa 03Não se aplicaNão se aplicaIntermediário",Mercado_Receita!$L$2:$L$174)+SUMIF(Mercado_Receita!$S$2:$S$174,"44621B1Convencional pré-pagamentoResidencialResidencial baixa renda – faixa 03Não se aplicaNão se aplicaNão se aplica",Mercado_Receita!$L$2:$L$174)</f>
        <v>0</v>
      </c>
      <c r="N25" s="13">
        <f>SUMIF(Mercado_Receita!$S$2:$S$174,"44652B1Convencional pré-pagamentoResidencialResidencial baixa renda – faixa 03Não se aplicaNão se aplicaPonta",Mercado_Receita!$L$2:$L$174)+SUMIF(Mercado_Receita!$S$2:$S$174,"44652B1Convencional pré-pagamentoResidencialResidencial baixa renda – faixa 03Não se aplicaNão se aplicaFora ponta",Mercado_Receita!$L$2:$L$174)+SUMIF(Mercado_Receita!$S$2:$S$174,"44652B1Convencional pré-pagamentoResidencialResidencial baixa renda – faixa 03Não se aplicaNão se aplicaIntermediário",Mercado_Receita!$L$2:$L$174)+SUMIF(Mercado_Receita!$S$2:$S$174,"44652B1Convencional pré-pagamentoResidencialResidencial baixa renda – faixa 03Não se aplicaNão se aplicaNão se aplica",Mercado_Receita!$L$2:$L$174)</f>
        <v>0</v>
      </c>
      <c r="O25" s="13">
        <f>SUMIF(Mercado_Receita!$S$2:$S$174,"44682B1Convencional pré-pagamentoResidencialResidencial baixa renda – faixa 03Não se aplicaNão se aplicaPonta",Mercado_Receita!$L$2:$L$174)+SUMIF(Mercado_Receita!$S$2:$S$174,"44682B1Convencional pré-pagamentoResidencialResidencial baixa renda – faixa 03Não se aplicaNão se aplicaFora ponta",Mercado_Receita!$L$2:$L$174)+SUMIF(Mercado_Receita!$S$2:$S$174,"44682B1Convencional pré-pagamentoResidencialResidencial baixa renda – faixa 03Não se aplicaNão se aplicaIntermediário",Mercado_Receita!$L$2:$L$174)+SUMIF(Mercado_Receita!$S$2:$S$174,"44682B1Convencional pré-pagamentoResidencialResidencial baixa renda – faixa 03Não se aplicaNão se aplicaNão se aplica",Mercado_Receita!$L$2:$L$174)</f>
        <v>0</v>
      </c>
      <c r="P25" s="13">
        <f>SUMIF(Mercado_Receita!$S$2:$S$174,"44713B1Convencional pré-pagamentoResidencialResidencial baixa renda – faixa 03Não se aplicaNão se aplicaPonta",Mercado_Receita!$L$2:$L$174)+SUMIF(Mercado_Receita!$S$2:$S$174,"44713B1Convencional pré-pagamentoResidencialResidencial baixa renda – faixa 03Não se aplicaNão se aplicaFora ponta",Mercado_Receita!$L$2:$L$174)+SUMIF(Mercado_Receita!$S$2:$S$174,"44713B1Convencional pré-pagamentoResidencialResidencial baixa renda – faixa 03Não se aplicaNão se aplicaIntermediário",Mercado_Receita!$L$2:$L$174)+SUMIF(Mercado_Receita!$S$2:$S$174,"44713B1Convencional pré-pagamentoResidencialResidencial baixa renda – faixa 03Não se aplicaNão se aplicaNão se aplica",Mercado_Receita!$L$2:$L$174)</f>
        <v>0</v>
      </c>
      <c r="Q25" s="13">
        <f>SUMIF(Mercado_Receita!$S$2:$S$174,"44743B1Convencional pré-pagamentoResidencialResidencial baixa renda – faixa 03Não se aplicaNão se aplicaPonta",Mercado_Receita!$L$2:$L$174)+SUMIF(Mercado_Receita!$S$2:$S$174,"44743B1Convencional pré-pagamentoResidencialResidencial baixa renda – faixa 03Não se aplicaNão se aplicaFora ponta",Mercado_Receita!$L$2:$L$174)+SUMIF(Mercado_Receita!$S$2:$S$174,"44743B1Convencional pré-pagamentoResidencialResidencial baixa renda – faixa 03Não se aplicaNão se aplicaIntermediário",Mercado_Receita!$L$2:$L$174)+SUMIF(Mercado_Receita!$S$2:$S$174,"44743B1Convencional pré-pagamentoResidencialResidencial baixa renda – faixa 03Não se aplicaNão se aplicaNão se aplica",Mercado_Receita!$L$2:$L$174)</f>
        <v>0</v>
      </c>
      <c r="R25" s="13">
        <f>SUMIF(Mercado_Receita!$S$2:$S$174,"44774B1Convencional pré-pagamentoResidencialResidencial baixa renda – faixa 03Não se aplicaNão se aplicaPonta",Mercado_Receita!$L$2:$L$174)+SUMIF(Mercado_Receita!$S$2:$S$174,"44774B1Convencional pré-pagamentoResidencialResidencial baixa renda – faixa 03Não se aplicaNão se aplicaFora ponta",Mercado_Receita!$L$2:$L$174)+SUMIF(Mercado_Receita!$S$2:$S$174,"44774B1Convencional pré-pagamentoResidencialResidencial baixa renda – faixa 03Não se aplicaNão se aplicaIntermediário",Mercado_Receita!$L$2:$L$174)+SUMIF(Mercado_Receita!$S$2:$S$174,"44774B1Convencional pré-pagamentoResidencialResidencial baixa renda – faixa 03Não se aplicaNão se aplicaNão se aplica",Mercado_Receita!$L$2:$L$174)</f>
        <v>0</v>
      </c>
      <c r="S25" s="13">
        <f>SUMIF(Mercado_Receita!$S$2:$S$174,"44805B1Convencional pré-pagamentoResidencialResidencial baixa renda – faixa 03Não se aplicaNão se aplicaPonta",Mercado_Receita!$L$2:$L$174)+SUMIF(Mercado_Receita!$S$2:$S$174,"44805B1Convencional pré-pagamentoResidencialResidencial baixa renda – faixa 03Não se aplicaNão se aplicaFora ponta",Mercado_Receita!$L$2:$L$174)+SUMIF(Mercado_Receita!$S$2:$S$174,"44805B1Convencional pré-pagamentoResidencialResidencial baixa renda – faixa 03Não se aplicaNão se aplicaIntermediário",Mercado_Receita!$L$2:$L$174)+SUMIF(Mercado_Receita!$S$2:$S$174,"44805B1Convencional pré-pagamentoResidencialResidencial baixa renda – faixa 03Não se aplicaNão se aplicaNão se aplica",Mercado_Receita!$L$2:$L$174)</f>
        <v>0</v>
      </c>
      <c r="T25" s="13">
        <f>SUMIF(Mercado_Receita!$S$2:$S$174,"44835B1Convencional pré-pagamentoResidencialResidencial baixa renda – faixa 03Não se aplicaNão se aplicaPonta",Mercado_Receita!$L$2:$L$174)+SUMIF(Mercado_Receita!$S$2:$S$174,"44835B1Convencional pré-pagamentoResidencialResidencial baixa renda – faixa 03Não se aplicaNão se aplicaFora ponta",Mercado_Receita!$L$2:$L$174)+SUMIF(Mercado_Receita!$S$2:$S$174,"44835B1Convencional pré-pagamentoResidencialResidencial baixa renda – faixa 03Não se aplicaNão se aplicaIntermediário",Mercado_Receita!$L$2:$L$174)+SUMIF(Mercado_Receita!$S$2:$S$174,"44835B1Convencional pré-pagamentoResidencialResidencial baixa renda – faixa 03Não se aplicaNão se aplicaNão se aplica",Mercado_Receita!$L$2:$L$174)</f>
        <v>0</v>
      </c>
      <c r="U25" s="13">
        <f t="shared" si="0"/>
        <v>0</v>
      </c>
      <c r="V25" s="13"/>
      <c r="W25" s="13"/>
    </row>
    <row r="26" spans="1:23" ht="11.25" customHeight="1" x14ac:dyDescent="0.25">
      <c r="A26" s="89"/>
      <c r="B26" s="89"/>
      <c r="C26" s="89"/>
      <c r="D26" s="12" t="s">
        <v>40</v>
      </c>
      <c r="E26" s="12" t="s">
        <v>25</v>
      </c>
      <c r="F26" s="12" t="s">
        <v>25</v>
      </c>
      <c r="G26" s="13" t="s">
        <v>67</v>
      </c>
      <c r="H26" s="13" t="s">
        <v>60</v>
      </c>
      <c r="I26" s="13">
        <f>SUMIF(Mercado_Receita!$S$2:$S$174,"44501B1Convencional pré-pagamentoResidencialResidencial baixa renda – faixa 04Não se aplicaNão se aplicaPonta",Mercado_Receita!$L$2:$L$174)+SUMIF(Mercado_Receita!$S$2:$S$174,"44501B1Convencional pré-pagamentoResidencialResidencial baixa renda – faixa 04Não se aplicaNão se aplicaFora ponta",Mercado_Receita!$L$2:$L$174)+SUMIF(Mercado_Receita!$S$2:$S$174,"44501B1Convencional pré-pagamentoResidencialResidencial baixa renda – faixa 04Não se aplicaNão se aplicaIntermediário",Mercado_Receita!$L$2:$L$174)+SUMIF(Mercado_Receita!$S$2:$S$174,"44501B1Convencional pré-pagamentoResidencialResidencial baixa renda – faixa 04Não se aplicaNão se aplicaNão se aplica",Mercado_Receita!$L$2:$L$174)</f>
        <v>0</v>
      </c>
      <c r="J26" s="13">
        <f>SUMIF(Mercado_Receita!$S$2:$S$174,"44531B1Convencional pré-pagamentoResidencialResidencial baixa renda – faixa 04Não se aplicaNão se aplicaPonta",Mercado_Receita!$L$2:$L$174)+SUMIF(Mercado_Receita!$S$2:$S$174,"44531B1Convencional pré-pagamentoResidencialResidencial baixa renda – faixa 04Não se aplicaNão se aplicaFora ponta",Mercado_Receita!$L$2:$L$174)+SUMIF(Mercado_Receita!$S$2:$S$174,"44531B1Convencional pré-pagamentoResidencialResidencial baixa renda – faixa 04Não se aplicaNão se aplicaIntermediário",Mercado_Receita!$L$2:$L$174)+SUMIF(Mercado_Receita!$S$2:$S$174,"44531B1Convencional pré-pagamentoResidencialResidencial baixa renda – faixa 04Não se aplicaNão se aplicaNão se aplica",Mercado_Receita!$L$2:$L$174)</f>
        <v>0</v>
      </c>
      <c r="K26" s="13">
        <f>SUMIF(Mercado_Receita!$S$2:$S$174,"44562B1Convencional pré-pagamentoResidencialResidencial baixa renda – faixa 04Não se aplicaNão se aplicaPonta",Mercado_Receita!$L$2:$L$174)+SUMIF(Mercado_Receita!$S$2:$S$174,"44562B1Convencional pré-pagamentoResidencialResidencial baixa renda – faixa 04Não se aplicaNão se aplicaFora ponta",Mercado_Receita!$L$2:$L$174)+SUMIF(Mercado_Receita!$S$2:$S$174,"44562B1Convencional pré-pagamentoResidencialResidencial baixa renda – faixa 04Não se aplicaNão se aplicaIntermediário",Mercado_Receita!$L$2:$L$174)+SUMIF(Mercado_Receita!$S$2:$S$174,"44562B1Convencional pré-pagamentoResidencialResidencial baixa renda – faixa 04Não se aplicaNão se aplicaNão se aplica",Mercado_Receita!$L$2:$L$174)</f>
        <v>0</v>
      </c>
      <c r="L26" s="13">
        <f>SUMIF(Mercado_Receita!$S$2:$S$174,"44593B1Convencional pré-pagamentoResidencialResidencial baixa renda – faixa 04Não se aplicaNão se aplicaPonta",Mercado_Receita!$L$2:$L$174)+SUMIF(Mercado_Receita!$S$2:$S$174,"44593B1Convencional pré-pagamentoResidencialResidencial baixa renda – faixa 04Não se aplicaNão se aplicaFora ponta",Mercado_Receita!$L$2:$L$174)+SUMIF(Mercado_Receita!$S$2:$S$174,"44593B1Convencional pré-pagamentoResidencialResidencial baixa renda – faixa 04Não se aplicaNão se aplicaIntermediário",Mercado_Receita!$L$2:$L$174)+SUMIF(Mercado_Receita!$S$2:$S$174,"44593B1Convencional pré-pagamentoResidencialResidencial baixa renda – faixa 04Não se aplicaNão se aplicaNão se aplica",Mercado_Receita!$L$2:$L$174)</f>
        <v>0</v>
      </c>
      <c r="M26" s="13">
        <f>SUMIF(Mercado_Receita!$S$2:$S$174,"44621B1Convencional pré-pagamentoResidencialResidencial baixa renda – faixa 04Não se aplicaNão se aplicaPonta",Mercado_Receita!$L$2:$L$174)+SUMIF(Mercado_Receita!$S$2:$S$174,"44621B1Convencional pré-pagamentoResidencialResidencial baixa renda – faixa 04Não se aplicaNão se aplicaFora ponta",Mercado_Receita!$L$2:$L$174)+SUMIF(Mercado_Receita!$S$2:$S$174,"44621B1Convencional pré-pagamentoResidencialResidencial baixa renda – faixa 04Não se aplicaNão se aplicaIntermediário",Mercado_Receita!$L$2:$L$174)+SUMIF(Mercado_Receita!$S$2:$S$174,"44621B1Convencional pré-pagamentoResidencialResidencial baixa renda – faixa 04Não se aplicaNão se aplicaNão se aplica",Mercado_Receita!$L$2:$L$174)</f>
        <v>0</v>
      </c>
      <c r="N26" s="13">
        <f>SUMIF(Mercado_Receita!$S$2:$S$174,"44652B1Convencional pré-pagamentoResidencialResidencial baixa renda – faixa 04Não se aplicaNão se aplicaPonta",Mercado_Receita!$L$2:$L$174)+SUMIF(Mercado_Receita!$S$2:$S$174,"44652B1Convencional pré-pagamentoResidencialResidencial baixa renda – faixa 04Não se aplicaNão se aplicaFora ponta",Mercado_Receita!$L$2:$L$174)+SUMIF(Mercado_Receita!$S$2:$S$174,"44652B1Convencional pré-pagamentoResidencialResidencial baixa renda – faixa 04Não se aplicaNão se aplicaIntermediário",Mercado_Receita!$L$2:$L$174)+SUMIF(Mercado_Receita!$S$2:$S$174,"44652B1Convencional pré-pagamentoResidencialResidencial baixa renda – faixa 04Não se aplicaNão se aplicaNão se aplica",Mercado_Receita!$L$2:$L$174)</f>
        <v>0</v>
      </c>
      <c r="O26" s="13">
        <f>SUMIF(Mercado_Receita!$S$2:$S$174,"44682B1Convencional pré-pagamentoResidencialResidencial baixa renda – faixa 04Não se aplicaNão se aplicaPonta",Mercado_Receita!$L$2:$L$174)+SUMIF(Mercado_Receita!$S$2:$S$174,"44682B1Convencional pré-pagamentoResidencialResidencial baixa renda – faixa 04Não se aplicaNão se aplicaFora ponta",Mercado_Receita!$L$2:$L$174)+SUMIF(Mercado_Receita!$S$2:$S$174,"44682B1Convencional pré-pagamentoResidencialResidencial baixa renda – faixa 04Não se aplicaNão se aplicaIntermediário",Mercado_Receita!$L$2:$L$174)+SUMIF(Mercado_Receita!$S$2:$S$174,"44682B1Convencional pré-pagamentoResidencialResidencial baixa renda – faixa 04Não se aplicaNão se aplicaNão se aplica",Mercado_Receita!$L$2:$L$174)</f>
        <v>0</v>
      </c>
      <c r="P26" s="13">
        <f>SUMIF(Mercado_Receita!$S$2:$S$174,"44713B1Convencional pré-pagamentoResidencialResidencial baixa renda – faixa 04Não se aplicaNão se aplicaPonta",Mercado_Receita!$L$2:$L$174)+SUMIF(Mercado_Receita!$S$2:$S$174,"44713B1Convencional pré-pagamentoResidencialResidencial baixa renda – faixa 04Não se aplicaNão se aplicaFora ponta",Mercado_Receita!$L$2:$L$174)+SUMIF(Mercado_Receita!$S$2:$S$174,"44713B1Convencional pré-pagamentoResidencialResidencial baixa renda – faixa 04Não se aplicaNão se aplicaIntermediário",Mercado_Receita!$L$2:$L$174)+SUMIF(Mercado_Receita!$S$2:$S$174,"44713B1Convencional pré-pagamentoResidencialResidencial baixa renda – faixa 04Não se aplicaNão se aplicaNão se aplica",Mercado_Receita!$L$2:$L$174)</f>
        <v>0</v>
      </c>
      <c r="Q26" s="13">
        <f>SUMIF(Mercado_Receita!$S$2:$S$174,"44743B1Convencional pré-pagamentoResidencialResidencial baixa renda – faixa 04Não se aplicaNão se aplicaPonta",Mercado_Receita!$L$2:$L$174)+SUMIF(Mercado_Receita!$S$2:$S$174,"44743B1Convencional pré-pagamentoResidencialResidencial baixa renda – faixa 04Não se aplicaNão se aplicaFora ponta",Mercado_Receita!$L$2:$L$174)+SUMIF(Mercado_Receita!$S$2:$S$174,"44743B1Convencional pré-pagamentoResidencialResidencial baixa renda – faixa 04Não se aplicaNão se aplicaIntermediário",Mercado_Receita!$L$2:$L$174)+SUMIF(Mercado_Receita!$S$2:$S$174,"44743B1Convencional pré-pagamentoResidencialResidencial baixa renda – faixa 04Não se aplicaNão se aplicaNão se aplica",Mercado_Receita!$L$2:$L$174)</f>
        <v>0</v>
      </c>
      <c r="R26" s="13">
        <f>SUMIF(Mercado_Receita!$S$2:$S$174,"44774B1Convencional pré-pagamentoResidencialResidencial baixa renda – faixa 04Não se aplicaNão se aplicaPonta",Mercado_Receita!$L$2:$L$174)+SUMIF(Mercado_Receita!$S$2:$S$174,"44774B1Convencional pré-pagamentoResidencialResidencial baixa renda – faixa 04Não se aplicaNão se aplicaFora ponta",Mercado_Receita!$L$2:$L$174)+SUMIF(Mercado_Receita!$S$2:$S$174,"44774B1Convencional pré-pagamentoResidencialResidencial baixa renda – faixa 04Não se aplicaNão se aplicaIntermediário",Mercado_Receita!$L$2:$L$174)+SUMIF(Mercado_Receita!$S$2:$S$174,"44774B1Convencional pré-pagamentoResidencialResidencial baixa renda – faixa 04Não se aplicaNão se aplicaNão se aplica",Mercado_Receita!$L$2:$L$174)</f>
        <v>0</v>
      </c>
      <c r="S26" s="13">
        <f>SUMIF(Mercado_Receita!$S$2:$S$174,"44805B1Convencional pré-pagamentoResidencialResidencial baixa renda – faixa 04Não se aplicaNão se aplicaPonta",Mercado_Receita!$L$2:$L$174)+SUMIF(Mercado_Receita!$S$2:$S$174,"44805B1Convencional pré-pagamentoResidencialResidencial baixa renda – faixa 04Não se aplicaNão se aplicaFora ponta",Mercado_Receita!$L$2:$L$174)+SUMIF(Mercado_Receita!$S$2:$S$174,"44805B1Convencional pré-pagamentoResidencialResidencial baixa renda – faixa 04Não se aplicaNão se aplicaIntermediário",Mercado_Receita!$L$2:$L$174)+SUMIF(Mercado_Receita!$S$2:$S$174,"44805B1Convencional pré-pagamentoResidencialResidencial baixa renda – faixa 04Não se aplicaNão se aplicaNão se aplica",Mercado_Receita!$L$2:$L$174)</f>
        <v>0</v>
      </c>
      <c r="T26" s="13">
        <f>SUMIF(Mercado_Receita!$S$2:$S$174,"44835B1Convencional pré-pagamentoResidencialResidencial baixa renda – faixa 04Não se aplicaNão se aplicaPonta",Mercado_Receita!$L$2:$L$174)+SUMIF(Mercado_Receita!$S$2:$S$174,"44835B1Convencional pré-pagamentoResidencialResidencial baixa renda – faixa 04Não se aplicaNão se aplicaFora ponta",Mercado_Receita!$L$2:$L$174)+SUMIF(Mercado_Receita!$S$2:$S$174,"44835B1Convencional pré-pagamentoResidencialResidencial baixa renda – faixa 04Não se aplicaNão se aplicaIntermediário",Mercado_Receita!$L$2:$L$174)+SUMIF(Mercado_Receita!$S$2:$S$174,"44835B1Convencional pré-pagamentoResidencialResidencial baixa renda – faixa 04Não se aplicaNão se aplicaNão se aplica",Mercado_Receita!$L$2:$L$174)</f>
        <v>0</v>
      </c>
      <c r="U26" s="13">
        <f t="shared" si="0"/>
        <v>0</v>
      </c>
      <c r="V26" s="13"/>
      <c r="W26" s="13"/>
    </row>
    <row r="27" spans="1:23" ht="11.25" customHeight="1" x14ac:dyDescent="0.25">
      <c r="A27" s="88" t="s">
        <v>31</v>
      </c>
      <c r="B27" s="88" t="s">
        <v>76</v>
      </c>
      <c r="C27" s="88" t="s">
        <v>32</v>
      </c>
      <c r="D27" s="88" t="s">
        <v>25</v>
      </c>
      <c r="E27" s="88" t="s">
        <v>25</v>
      </c>
      <c r="F27" s="88" t="s">
        <v>25</v>
      </c>
      <c r="G27" s="13" t="s">
        <v>61</v>
      </c>
      <c r="H27" s="13" t="s">
        <v>60</v>
      </c>
      <c r="I27" s="13">
        <f>SUMIF(Mercado_Receita!$S$2:$S$174,"44501B2BrancaRuralNão se aplicaNão se aplicaNão se aplicaPonta",Mercado_Receita!$L$2:$L$174)</f>
        <v>0</v>
      </c>
      <c r="J27" s="13">
        <f>SUMIF(Mercado_Receita!$S$2:$S$174,"44531B2BrancaRuralNão se aplicaNão se aplicaNão se aplicaPonta",Mercado_Receita!$L$2:$L$174)</f>
        <v>0</v>
      </c>
      <c r="K27" s="13">
        <f>SUMIF(Mercado_Receita!$S$2:$S$174,"44562B2BrancaRuralNão se aplicaNão se aplicaNão se aplicaPonta",Mercado_Receita!$L$2:$L$174)</f>
        <v>0</v>
      </c>
      <c r="L27" s="13">
        <f>SUMIF(Mercado_Receita!$S$2:$S$174,"44593B2BrancaRuralNão se aplicaNão se aplicaNão se aplicaPonta",Mercado_Receita!$L$2:$L$174)</f>
        <v>0</v>
      </c>
      <c r="M27" s="13">
        <f>SUMIF(Mercado_Receita!$S$2:$S$174,"44621B2BrancaRuralNão se aplicaNão se aplicaNão se aplicaPonta",Mercado_Receita!$L$2:$L$174)</f>
        <v>0</v>
      </c>
      <c r="N27" s="13">
        <f>SUMIF(Mercado_Receita!$S$2:$S$174,"44652B2BrancaRuralNão se aplicaNão se aplicaNão se aplicaPonta",Mercado_Receita!$L$2:$L$174)</f>
        <v>0</v>
      </c>
      <c r="O27" s="13">
        <f>SUMIF(Mercado_Receita!$S$2:$S$174,"44682B2BrancaRuralNão se aplicaNão se aplicaNão se aplicaPonta",Mercado_Receita!$L$2:$L$174)</f>
        <v>0</v>
      </c>
      <c r="P27" s="13">
        <f>SUMIF(Mercado_Receita!$S$2:$S$174,"44713B2BrancaRuralNão se aplicaNão se aplicaNão se aplicaPonta",Mercado_Receita!$L$2:$L$174)</f>
        <v>0</v>
      </c>
      <c r="Q27" s="13">
        <f>SUMIF(Mercado_Receita!$S$2:$S$174,"44743B2BrancaRuralNão se aplicaNão se aplicaNão se aplicaPonta",Mercado_Receita!$L$2:$L$174)</f>
        <v>0</v>
      </c>
      <c r="R27" s="13">
        <f>SUMIF(Mercado_Receita!$S$2:$S$174,"44774B2BrancaRuralNão se aplicaNão se aplicaNão se aplicaPonta",Mercado_Receita!$L$2:$L$174)</f>
        <v>0</v>
      </c>
      <c r="S27" s="13">
        <f>SUMIF(Mercado_Receita!$S$2:$S$174,"44805B2BrancaRuralNão se aplicaNão se aplicaNão se aplicaPonta",Mercado_Receita!$L$2:$L$174)</f>
        <v>0</v>
      </c>
      <c r="T27" s="13">
        <f>SUMIF(Mercado_Receita!$S$2:$S$174,"44835B2BrancaRuralNão se aplicaNão se aplicaNão se aplicaPonta",Mercado_Receita!$L$2:$L$174)</f>
        <v>0</v>
      </c>
      <c r="U27" s="13">
        <f t="shared" si="0"/>
        <v>0</v>
      </c>
      <c r="V27" s="13"/>
      <c r="W27" s="13"/>
    </row>
    <row r="28" spans="1:23" ht="11.25" customHeight="1" x14ac:dyDescent="0.25">
      <c r="A28" s="89"/>
      <c r="B28" s="89"/>
      <c r="C28" s="89"/>
      <c r="D28" s="89"/>
      <c r="E28" s="89"/>
      <c r="F28" s="89"/>
      <c r="G28" s="13" t="s">
        <v>74</v>
      </c>
      <c r="H28" s="13" t="s">
        <v>60</v>
      </c>
      <c r="I28" s="13">
        <f>SUMIF(Mercado_Receita!$S$2:$S$174,"44501B2BrancaRuralNão se aplicaNão se aplicaNão se aplicaIntermediário",Mercado_Receita!$L$2:$L$174)</f>
        <v>0</v>
      </c>
      <c r="J28" s="13">
        <f>SUMIF(Mercado_Receita!$S$2:$S$174,"44531B2BrancaRuralNão se aplicaNão se aplicaNão se aplicaIntermediário",Mercado_Receita!$L$2:$L$174)</f>
        <v>0</v>
      </c>
      <c r="K28" s="13">
        <f>SUMIF(Mercado_Receita!$S$2:$S$174,"44562B2BrancaRuralNão se aplicaNão se aplicaNão se aplicaIntermediário",Mercado_Receita!$L$2:$L$174)</f>
        <v>0</v>
      </c>
      <c r="L28" s="13">
        <f>SUMIF(Mercado_Receita!$S$2:$S$174,"44593B2BrancaRuralNão se aplicaNão se aplicaNão se aplicaIntermediário",Mercado_Receita!$L$2:$L$174)</f>
        <v>0</v>
      </c>
      <c r="M28" s="13">
        <f>SUMIF(Mercado_Receita!$S$2:$S$174,"44621B2BrancaRuralNão se aplicaNão se aplicaNão se aplicaIntermediário",Mercado_Receita!$L$2:$L$174)</f>
        <v>0</v>
      </c>
      <c r="N28" s="13">
        <f>SUMIF(Mercado_Receita!$S$2:$S$174,"44652B2BrancaRuralNão se aplicaNão se aplicaNão se aplicaIntermediário",Mercado_Receita!$L$2:$L$174)</f>
        <v>0</v>
      </c>
      <c r="O28" s="13">
        <f>SUMIF(Mercado_Receita!$S$2:$S$174,"44682B2BrancaRuralNão se aplicaNão se aplicaNão se aplicaIntermediário",Mercado_Receita!$L$2:$L$174)</f>
        <v>0</v>
      </c>
      <c r="P28" s="13">
        <f>SUMIF(Mercado_Receita!$S$2:$S$174,"44713B2BrancaRuralNão se aplicaNão se aplicaNão se aplicaIntermediário",Mercado_Receita!$L$2:$L$174)</f>
        <v>0</v>
      </c>
      <c r="Q28" s="13">
        <f>SUMIF(Mercado_Receita!$S$2:$S$174,"44743B2BrancaRuralNão se aplicaNão se aplicaNão se aplicaIntermediário",Mercado_Receita!$L$2:$L$174)</f>
        <v>0</v>
      </c>
      <c r="R28" s="13">
        <f>SUMIF(Mercado_Receita!$S$2:$S$174,"44774B2BrancaRuralNão se aplicaNão se aplicaNão se aplicaIntermediário",Mercado_Receita!$L$2:$L$174)</f>
        <v>0</v>
      </c>
      <c r="S28" s="13">
        <f>SUMIF(Mercado_Receita!$S$2:$S$174,"44805B2BrancaRuralNão se aplicaNão se aplicaNão se aplicaIntermediário",Mercado_Receita!$L$2:$L$174)</f>
        <v>0</v>
      </c>
      <c r="T28" s="13">
        <f>SUMIF(Mercado_Receita!$S$2:$S$174,"44835B2BrancaRuralNão se aplicaNão se aplicaNão se aplicaIntermediário",Mercado_Receita!$L$2:$L$174)</f>
        <v>0</v>
      </c>
      <c r="U28" s="13">
        <f t="shared" si="0"/>
        <v>0</v>
      </c>
      <c r="V28" s="13"/>
      <c r="W28" s="13"/>
    </row>
    <row r="29" spans="1:23" ht="11.25" customHeight="1" x14ac:dyDescent="0.25">
      <c r="A29" s="89"/>
      <c r="B29" s="89"/>
      <c r="C29" s="89"/>
      <c r="D29" s="89"/>
      <c r="E29" s="89"/>
      <c r="F29" s="89"/>
      <c r="G29" s="13" t="s">
        <v>62</v>
      </c>
      <c r="H29" s="13" t="s">
        <v>60</v>
      </c>
      <c r="I29" s="13">
        <f>SUMIF(Mercado_Receita!$S$2:$S$174,"44501B2BrancaRuralNão se aplicaNão se aplicaNão se aplicaFora ponta",Mercado_Receita!$L$2:$L$174)</f>
        <v>0</v>
      </c>
      <c r="J29" s="13">
        <f>SUMIF(Mercado_Receita!$S$2:$S$174,"44531B2BrancaRuralNão se aplicaNão se aplicaNão se aplicaFora ponta",Mercado_Receita!$L$2:$L$174)</f>
        <v>0</v>
      </c>
      <c r="K29" s="13">
        <f>SUMIF(Mercado_Receita!$S$2:$S$174,"44562B2BrancaRuralNão se aplicaNão se aplicaNão se aplicaFora ponta",Mercado_Receita!$L$2:$L$174)</f>
        <v>0</v>
      </c>
      <c r="L29" s="13">
        <f>SUMIF(Mercado_Receita!$S$2:$S$174,"44593B2BrancaRuralNão se aplicaNão se aplicaNão se aplicaFora ponta",Mercado_Receita!$L$2:$L$174)</f>
        <v>0</v>
      </c>
      <c r="M29" s="13">
        <f>SUMIF(Mercado_Receita!$S$2:$S$174,"44621B2BrancaRuralNão se aplicaNão se aplicaNão se aplicaFora ponta",Mercado_Receita!$L$2:$L$174)</f>
        <v>0</v>
      </c>
      <c r="N29" s="13">
        <f>SUMIF(Mercado_Receita!$S$2:$S$174,"44652B2BrancaRuralNão se aplicaNão se aplicaNão se aplicaFora ponta",Mercado_Receita!$L$2:$L$174)</f>
        <v>0</v>
      </c>
      <c r="O29" s="13">
        <f>SUMIF(Mercado_Receita!$S$2:$S$174,"44682B2BrancaRuralNão se aplicaNão se aplicaNão se aplicaFora ponta",Mercado_Receita!$L$2:$L$174)</f>
        <v>0</v>
      </c>
      <c r="P29" s="13">
        <f>SUMIF(Mercado_Receita!$S$2:$S$174,"44713B2BrancaRuralNão se aplicaNão se aplicaNão se aplicaFora ponta",Mercado_Receita!$L$2:$L$174)</f>
        <v>0</v>
      </c>
      <c r="Q29" s="13">
        <f>SUMIF(Mercado_Receita!$S$2:$S$174,"44743B2BrancaRuralNão se aplicaNão se aplicaNão se aplicaFora ponta",Mercado_Receita!$L$2:$L$174)</f>
        <v>0</v>
      </c>
      <c r="R29" s="13">
        <f>SUMIF(Mercado_Receita!$S$2:$S$174,"44774B2BrancaRuralNão se aplicaNão se aplicaNão se aplicaFora ponta",Mercado_Receita!$L$2:$L$174)</f>
        <v>0</v>
      </c>
      <c r="S29" s="13">
        <f>SUMIF(Mercado_Receita!$S$2:$S$174,"44805B2BrancaRuralNão se aplicaNão se aplicaNão se aplicaFora ponta",Mercado_Receita!$L$2:$L$174)</f>
        <v>0</v>
      </c>
      <c r="T29" s="13">
        <f>SUMIF(Mercado_Receita!$S$2:$S$174,"44835B2BrancaRuralNão se aplicaNão se aplicaNão se aplicaFora ponta",Mercado_Receita!$L$2:$L$174)</f>
        <v>0</v>
      </c>
      <c r="U29" s="13">
        <f t="shared" si="0"/>
        <v>0</v>
      </c>
      <c r="V29" s="13"/>
      <c r="W29" s="13"/>
    </row>
    <row r="30" spans="1:23" ht="11.25" customHeight="1" x14ac:dyDescent="0.25">
      <c r="A30" s="89"/>
      <c r="B30" s="12" t="s">
        <v>23</v>
      </c>
      <c r="C30" s="12" t="s">
        <v>32</v>
      </c>
      <c r="D30" s="12" t="s">
        <v>25</v>
      </c>
      <c r="E30" s="12" t="s">
        <v>25</v>
      </c>
      <c r="F30" s="12" t="s">
        <v>25</v>
      </c>
      <c r="G30" s="13" t="s">
        <v>67</v>
      </c>
      <c r="H30" s="13" t="s">
        <v>60</v>
      </c>
      <c r="I30" s="13">
        <f>SUMIF(Mercado_Receita!$S$2:$S$174,"44501B2ConvencionalRuralNão se aplicaNão se aplicaNão se aplicaPonta",Mercado_Receita!$L$2:$L$174)+SUMIF(Mercado_Receita!$S$2:$S$174,"44501B2ConvencionalRuralNão se aplicaNão se aplicaNão se aplicaFora ponta",Mercado_Receita!$L$2:$L$174)+SUMIF(Mercado_Receita!$S$2:$S$174,"44501B2ConvencionalRuralNão se aplicaNão se aplicaNão se aplicaIntermediário",Mercado_Receita!$L$2:$L$174)+SUMIF(Mercado_Receita!$S$2:$S$174,"44501B2ConvencionalRuralNão se aplicaNão se aplicaNão se aplicaNão se aplica",Mercado_Receita!$L$2:$L$174)</f>
        <v>506.88900000000001</v>
      </c>
      <c r="J30" s="13">
        <f>SUMIF(Mercado_Receita!$S$2:$S$174,"44531B2ConvencionalRuralNão se aplicaNão se aplicaNão se aplicaPonta",Mercado_Receita!$L$2:$L$174)+SUMIF(Mercado_Receita!$S$2:$S$174,"44531B2ConvencionalRuralNão se aplicaNão se aplicaNão se aplicaFora ponta",Mercado_Receita!$L$2:$L$174)+SUMIF(Mercado_Receita!$S$2:$S$174,"44531B2ConvencionalRuralNão se aplicaNão se aplicaNão se aplicaIntermediário",Mercado_Receita!$L$2:$L$174)+SUMIF(Mercado_Receita!$S$2:$S$174,"44531B2ConvencionalRuralNão se aplicaNão se aplicaNão se aplicaNão se aplica",Mercado_Receita!$L$2:$L$174)</f>
        <v>490.726</v>
      </c>
      <c r="K30" s="13">
        <f>SUMIF(Mercado_Receita!$S$2:$S$174,"44562B2ConvencionalRuralNão se aplicaNão se aplicaNão se aplicaPonta",Mercado_Receita!$L$2:$L$174)+SUMIF(Mercado_Receita!$S$2:$S$174,"44562B2ConvencionalRuralNão se aplicaNão se aplicaNão se aplicaFora ponta",Mercado_Receita!$L$2:$L$174)+SUMIF(Mercado_Receita!$S$2:$S$174,"44562B2ConvencionalRuralNão se aplicaNão se aplicaNão se aplicaIntermediário",Mercado_Receita!$L$2:$L$174)+SUMIF(Mercado_Receita!$S$2:$S$174,"44562B2ConvencionalRuralNão se aplicaNão se aplicaNão se aplicaNão se aplica",Mercado_Receita!$L$2:$L$174)</f>
        <v>563.65300000000002</v>
      </c>
      <c r="L30" s="13">
        <f>SUMIF(Mercado_Receita!$S$2:$S$174,"44593B2ConvencionalRuralNão se aplicaNão se aplicaNão se aplicaPonta",Mercado_Receita!$L$2:$L$174)+SUMIF(Mercado_Receita!$S$2:$S$174,"44593B2ConvencionalRuralNão se aplicaNão se aplicaNão se aplicaFora ponta",Mercado_Receita!$L$2:$L$174)+SUMIF(Mercado_Receita!$S$2:$S$174,"44593B2ConvencionalRuralNão se aplicaNão se aplicaNão se aplicaIntermediário",Mercado_Receita!$L$2:$L$174)+SUMIF(Mercado_Receita!$S$2:$S$174,"44593B2ConvencionalRuralNão se aplicaNão se aplicaNão se aplicaNão se aplica",Mercado_Receita!$L$2:$L$174)</f>
        <v>570.89300000000003</v>
      </c>
      <c r="M30" s="13">
        <f>SUMIF(Mercado_Receita!$S$2:$S$174,"44621B2ConvencionalRuralNão se aplicaNão se aplicaNão se aplicaPonta",Mercado_Receita!$L$2:$L$174)+SUMIF(Mercado_Receita!$S$2:$S$174,"44621B2ConvencionalRuralNão se aplicaNão se aplicaNão se aplicaFora ponta",Mercado_Receita!$L$2:$L$174)+SUMIF(Mercado_Receita!$S$2:$S$174,"44621B2ConvencionalRuralNão se aplicaNão se aplicaNão se aplicaIntermediário",Mercado_Receita!$L$2:$L$174)+SUMIF(Mercado_Receita!$S$2:$S$174,"44621B2ConvencionalRuralNão se aplicaNão se aplicaNão se aplicaNão se aplica",Mercado_Receita!$L$2:$L$174)</f>
        <v>559.721</v>
      </c>
      <c r="N30" s="13">
        <f>SUMIF(Mercado_Receita!$S$2:$S$174,"44652B2ConvencionalRuralNão se aplicaNão se aplicaNão se aplicaPonta",Mercado_Receita!$L$2:$L$174)+SUMIF(Mercado_Receita!$S$2:$S$174,"44652B2ConvencionalRuralNão se aplicaNão se aplicaNão se aplicaFora ponta",Mercado_Receita!$L$2:$L$174)+SUMIF(Mercado_Receita!$S$2:$S$174,"44652B2ConvencionalRuralNão se aplicaNão se aplicaNão se aplicaIntermediário",Mercado_Receita!$L$2:$L$174)+SUMIF(Mercado_Receita!$S$2:$S$174,"44652B2ConvencionalRuralNão se aplicaNão se aplicaNão se aplicaNão se aplica",Mercado_Receita!$L$2:$L$174)</f>
        <v>500.29400000000004</v>
      </c>
      <c r="O30" s="13">
        <f>SUMIF(Mercado_Receita!$S$2:$S$174,"44682B2ConvencionalRuralNão se aplicaNão se aplicaNão se aplicaPonta",Mercado_Receita!$L$2:$L$174)+SUMIF(Mercado_Receita!$S$2:$S$174,"44682B2ConvencionalRuralNão se aplicaNão se aplicaNão se aplicaFora ponta",Mercado_Receita!$L$2:$L$174)+SUMIF(Mercado_Receita!$S$2:$S$174,"44682B2ConvencionalRuralNão se aplicaNão se aplicaNão se aplicaIntermediário",Mercado_Receita!$L$2:$L$174)+SUMIF(Mercado_Receita!$S$2:$S$174,"44682B2ConvencionalRuralNão se aplicaNão se aplicaNão se aplicaNão se aplica",Mercado_Receita!$L$2:$L$174)</f>
        <v>468.85699999999997</v>
      </c>
      <c r="P30" s="13">
        <f>SUMIF(Mercado_Receita!$S$2:$S$174,"44713B2ConvencionalRuralNão se aplicaNão se aplicaNão se aplicaPonta",Mercado_Receita!$L$2:$L$174)+SUMIF(Mercado_Receita!$S$2:$S$174,"44713B2ConvencionalRuralNão se aplicaNão se aplicaNão se aplicaFora ponta",Mercado_Receita!$L$2:$L$174)+SUMIF(Mercado_Receita!$S$2:$S$174,"44713B2ConvencionalRuralNão se aplicaNão se aplicaNão se aplicaIntermediário",Mercado_Receita!$L$2:$L$174)+SUMIF(Mercado_Receita!$S$2:$S$174,"44713B2ConvencionalRuralNão se aplicaNão se aplicaNão se aplicaNão se aplica",Mercado_Receita!$L$2:$L$174)</f>
        <v>505.06700000000001</v>
      </c>
      <c r="Q30" s="13">
        <f>SUMIF(Mercado_Receita!$S$2:$S$174,"44743B2ConvencionalRuralNão se aplicaNão se aplicaNão se aplicaPonta",Mercado_Receita!$L$2:$L$174)+SUMIF(Mercado_Receita!$S$2:$S$174,"44743B2ConvencionalRuralNão se aplicaNão se aplicaNão se aplicaFora ponta",Mercado_Receita!$L$2:$L$174)+SUMIF(Mercado_Receita!$S$2:$S$174,"44743B2ConvencionalRuralNão se aplicaNão se aplicaNão se aplicaIntermediário",Mercado_Receita!$L$2:$L$174)+SUMIF(Mercado_Receita!$S$2:$S$174,"44743B2ConvencionalRuralNão se aplicaNão se aplicaNão se aplicaNão se aplica",Mercado_Receita!$L$2:$L$174)</f>
        <v>479.58699999999999</v>
      </c>
      <c r="R30" s="13">
        <f>SUMIF(Mercado_Receita!$S$2:$S$174,"44774B2ConvencionalRuralNão se aplicaNão se aplicaNão se aplicaPonta",Mercado_Receita!$L$2:$L$174)+SUMIF(Mercado_Receita!$S$2:$S$174,"44774B2ConvencionalRuralNão se aplicaNão se aplicaNão se aplicaFora ponta",Mercado_Receita!$L$2:$L$174)+SUMIF(Mercado_Receita!$S$2:$S$174,"44774B2ConvencionalRuralNão se aplicaNão se aplicaNão se aplicaIntermediário",Mercado_Receita!$L$2:$L$174)+SUMIF(Mercado_Receita!$S$2:$S$174,"44774B2ConvencionalRuralNão se aplicaNão se aplicaNão se aplicaNão se aplica",Mercado_Receita!$L$2:$L$174)</f>
        <v>542.07899999999995</v>
      </c>
      <c r="S30" s="13">
        <f>SUMIF(Mercado_Receita!$S$2:$S$174,"44805B2ConvencionalRuralNão se aplicaNão se aplicaNão se aplicaPonta",Mercado_Receita!$L$2:$L$174)+SUMIF(Mercado_Receita!$S$2:$S$174,"44805B2ConvencionalRuralNão se aplicaNão se aplicaNão se aplicaFora ponta",Mercado_Receita!$L$2:$L$174)+SUMIF(Mercado_Receita!$S$2:$S$174,"44805B2ConvencionalRuralNão se aplicaNão se aplicaNão se aplicaIntermediário",Mercado_Receita!$L$2:$L$174)+SUMIF(Mercado_Receita!$S$2:$S$174,"44805B2ConvencionalRuralNão se aplicaNão se aplicaNão se aplicaNão se aplica",Mercado_Receita!$L$2:$L$174)</f>
        <v>490.21100000000001</v>
      </c>
      <c r="T30" s="13">
        <f>SUMIF(Mercado_Receita!$S$2:$S$174,"44835B2ConvencionalRuralNão se aplicaNão se aplicaNão se aplicaPonta",Mercado_Receita!$L$2:$L$174)+SUMIF(Mercado_Receita!$S$2:$S$174,"44835B2ConvencionalRuralNão se aplicaNão se aplicaNão se aplicaFora ponta",Mercado_Receita!$L$2:$L$174)+SUMIF(Mercado_Receita!$S$2:$S$174,"44835B2ConvencionalRuralNão se aplicaNão se aplicaNão se aplicaIntermediário",Mercado_Receita!$L$2:$L$174)+SUMIF(Mercado_Receita!$S$2:$S$174,"44835B2ConvencionalRuralNão se aplicaNão se aplicaNão se aplicaNão se aplica",Mercado_Receita!$L$2:$L$174)</f>
        <v>502.59000000000003</v>
      </c>
      <c r="U30" s="13">
        <f t="shared" si="0"/>
        <v>6180.567</v>
      </c>
      <c r="V30" s="13"/>
      <c r="W30" s="13"/>
    </row>
    <row r="31" spans="1:23" ht="11.25" customHeight="1" x14ac:dyDescent="0.25">
      <c r="A31" s="89"/>
      <c r="B31" s="88" t="s">
        <v>76</v>
      </c>
      <c r="C31" s="88" t="s">
        <v>32</v>
      </c>
      <c r="D31" s="88" t="s">
        <v>79</v>
      </c>
      <c r="E31" s="88" t="s">
        <v>25</v>
      </c>
      <c r="F31" s="88" t="s">
        <v>25</v>
      </c>
      <c r="G31" s="13" t="s">
        <v>61</v>
      </c>
      <c r="H31" s="13" t="s">
        <v>60</v>
      </c>
      <c r="I31" s="13">
        <f>SUMIF(Mercado_Receita!$S$2:$S$174,"44501B2BrancaRuralCooperativa de eletrificação ruralNão se aplicaNão se aplicaPonta",Mercado_Receita!$L$2:$L$174)</f>
        <v>0</v>
      </c>
      <c r="J31" s="13">
        <f>SUMIF(Mercado_Receita!$S$2:$S$174,"44531B2BrancaRuralCooperativa de eletrificação ruralNão se aplicaNão se aplicaPonta",Mercado_Receita!$L$2:$L$174)</f>
        <v>0</v>
      </c>
      <c r="K31" s="13">
        <f>SUMIF(Mercado_Receita!$S$2:$S$174,"44562B2BrancaRuralCooperativa de eletrificação ruralNão se aplicaNão se aplicaPonta",Mercado_Receita!$L$2:$L$174)</f>
        <v>0</v>
      </c>
      <c r="L31" s="13">
        <f>SUMIF(Mercado_Receita!$S$2:$S$174,"44593B2BrancaRuralCooperativa de eletrificação ruralNão se aplicaNão se aplicaPonta",Mercado_Receita!$L$2:$L$174)</f>
        <v>0</v>
      </c>
      <c r="M31" s="13">
        <f>SUMIF(Mercado_Receita!$S$2:$S$174,"44621B2BrancaRuralCooperativa de eletrificação ruralNão se aplicaNão se aplicaPonta",Mercado_Receita!$L$2:$L$174)</f>
        <v>0</v>
      </c>
      <c r="N31" s="13">
        <f>SUMIF(Mercado_Receita!$S$2:$S$174,"44652B2BrancaRuralCooperativa de eletrificação ruralNão se aplicaNão se aplicaPonta",Mercado_Receita!$L$2:$L$174)</f>
        <v>0</v>
      </c>
      <c r="O31" s="13">
        <f>SUMIF(Mercado_Receita!$S$2:$S$174,"44682B2BrancaRuralCooperativa de eletrificação ruralNão se aplicaNão se aplicaPonta",Mercado_Receita!$L$2:$L$174)</f>
        <v>0</v>
      </c>
      <c r="P31" s="13">
        <f>SUMIF(Mercado_Receita!$S$2:$S$174,"44713B2BrancaRuralCooperativa de eletrificação ruralNão se aplicaNão se aplicaPonta",Mercado_Receita!$L$2:$L$174)</f>
        <v>0</v>
      </c>
      <c r="Q31" s="13">
        <f>SUMIF(Mercado_Receita!$S$2:$S$174,"44743B2BrancaRuralCooperativa de eletrificação ruralNão se aplicaNão se aplicaPonta",Mercado_Receita!$L$2:$L$174)</f>
        <v>0</v>
      </c>
      <c r="R31" s="13">
        <f>SUMIF(Mercado_Receita!$S$2:$S$174,"44774B2BrancaRuralCooperativa de eletrificação ruralNão se aplicaNão se aplicaPonta",Mercado_Receita!$L$2:$L$174)</f>
        <v>0</v>
      </c>
      <c r="S31" s="13">
        <f>SUMIF(Mercado_Receita!$S$2:$S$174,"44805B2BrancaRuralCooperativa de eletrificação ruralNão se aplicaNão se aplicaPonta",Mercado_Receita!$L$2:$L$174)</f>
        <v>0</v>
      </c>
      <c r="T31" s="13">
        <f>SUMIF(Mercado_Receita!$S$2:$S$174,"44835B2BrancaRuralCooperativa de eletrificação ruralNão se aplicaNão se aplicaPonta",Mercado_Receita!$L$2:$L$174)</f>
        <v>0</v>
      </c>
      <c r="U31" s="13">
        <f t="shared" si="0"/>
        <v>0</v>
      </c>
      <c r="V31" s="13"/>
      <c r="W31" s="13"/>
    </row>
    <row r="32" spans="1:23" ht="11.25" customHeight="1" x14ac:dyDescent="0.25">
      <c r="A32" s="89"/>
      <c r="B32" s="89"/>
      <c r="C32" s="89"/>
      <c r="D32" s="89"/>
      <c r="E32" s="89"/>
      <c r="F32" s="89"/>
      <c r="G32" s="13" t="s">
        <v>74</v>
      </c>
      <c r="H32" s="13" t="s">
        <v>60</v>
      </c>
      <c r="I32" s="13">
        <f>SUMIF(Mercado_Receita!$S$2:$S$174,"44501B2BrancaRuralCooperativa de eletrificação ruralNão se aplicaNão se aplicaIntermediário",Mercado_Receita!$L$2:$L$174)</f>
        <v>0</v>
      </c>
      <c r="J32" s="13">
        <f>SUMIF(Mercado_Receita!$S$2:$S$174,"44531B2BrancaRuralCooperativa de eletrificação ruralNão se aplicaNão se aplicaIntermediário",Mercado_Receita!$L$2:$L$174)</f>
        <v>0</v>
      </c>
      <c r="K32" s="13">
        <f>SUMIF(Mercado_Receita!$S$2:$S$174,"44562B2BrancaRuralCooperativa de eletrificação ruralNão se aplicaNão se aplicaIntermediário",Mercado_Receita!$L$2:$L$174)</f>
        <v>0</v>
      </c>
      <c r="L32" s="13">
        <f>SUMIF(Mercado_Receita!$S$2:$S$174,"44593B2BrancaRuralCooperativa de eletrificação ruralNão se aplicaNão se aplicaIntermediário",Mercado_Receita!$L$2:$L$174)</f>
        <v>0</v>
      </c>
      <c r="M32" s="13">
        <f>SUMIF(Mercado_Receita!$S$2:$S$174,"44621B2BrancaRuralCooperativa de eletrificação ruralNão se aplicaNão se aplicaIntermediário",Mercado_Receita!$L$2:$L$174)</f>
        <v>0</v>
      </c>
      <c r="N32" s="13">
        <f>SUMIF(Mercado_Receita!$S$2:$S$174,"44652B2BrancaRuralCooperativa de eletrificação ruralNão se aplicaNão se aplicaIntermediário",Mercado_Receita!$L$2:$L$174)</f>
        <v>0</v>
      </c>
      <c r="O32" s="13">
        <f>SUMIF(Mercado_Receita!$S$2:$S$174,"44682B2BrancaRuralCooperativa de eletrificação ruralNão se aplicaNão se aplicaIntermediário",Mercado_Receita!$L$2:$L$174)</f>
        <v>0</v>
      </c>
      <c r="P32" s="13">
        <f>SUMIF(Mercado_Receita!$S$2:$S$174,"44713B2BrancaRuralCooperativa de eletrificação ruralNão se aplicaNão se aplicaIntermediário",Mercado_Receita!$L$2:$L$174)</f>
        <v>0</v>
      </c>
      <c r="Q32" s="13">
        <f>SUMIF(Mercado_Receita!$S$2:$S$174,"44743B2BrancaRuralCooperativa de eletrificação ruralNão se aplicaNão se aplicaIntermediário",Mercado_Receita!$L$2:$L$174)</f>
        <v>0</v>
      </c>
      <c r="R32" s="13">
        <f>SUMIF(Mercado_Receita!$S$2:$S$174,"44774B2BrancaRuralCooperativa de eletrificação ruralNão se aplicaNão se aplicaIntermediário",Mercado_Receita!$L$2:$L$174)</f>
        <v>0</v>
      </c>
      <c r="S32" s="13">
        <f>SUMIF(Mercado_Receita!$S$2:$S$174,"44805B2BrancaRuralCooperativa de eletrificação ruralNão se aplicaNão se aplicaIntermediário",Mercado_Receita!$L$2:$L$174)</f>
        <v>0</v>
      </c>
      <c r="T32" s="13">
        <f>SUMIF(Mercado_Receita!$S$2:$S$174,"44835B2BrancaRuralCooperativa de eletrificação ruralNão se aplicaNão se aplicaIntermediário",Mercado_Receita!$L$2:$L$174)</f>
        <v>0</v>
      </c>
      <c r="U32" s="13">
        <f t="shared" si="0"/>
        <v>0</v>
      </c>
      <c r="V32" s="13"/>
      <c r="W32" s="13"/>
    </row>
    <row r="33" spans="1:23" ht="11.25" customHeight="1" x14ac:dyDescent="0.25">
      <c r="A33" s="89"/>
      <c r="B33" s="89"/>
      <c r="C33" s="89"/>
      <c r="D33" s="89"/>
      <c r="E33" s="89"/>
      <c r="F33" s="89"/>
      <c r="G33" s="13" t="s">
        <v>62</v>
      </c>
      <c r="H33" s="13" t="s">
        <v>60</v>
      </c>
      <c r="I33" s="13">
        <f>SUMIF(Mercado_Receita!$S$2:$S$174,"44501B2BrancaRuralCooperativa de eletrificação ruralNão se aplicaNão se aplicaFora ponta",Mercado_Receita!$L$2:$L$174)</f>
        <v>0</v>
      </c>
      <c r="J33" s="13">
        <f>SUMIF(Mercado_Receita!$S$2:$S$174,"44531B2BrancaRuralCooperativa de eletrificação ruralNão se aplicaNão se aplicaFora ponta",Mercado_Receita!$L$2:$L$174)</f>
        <v>0</v>
      </c>
      <c r="K33" s="13">
        <f>SUMIF(Mercado_Receita!$S$2:$S$174,"44562B2BrancaRuralCooperativa de eletrificação ruralNão se aplicaNão se aplicaFora ponta",Mercado_Receita!$L$2:$L$174)</f>
        <v>0</v>
      </c>
      <c r="L33" s="13">
        <f>SUMIF(Mercado_Receita!$S$2:$S$174,"44593B2BrancaRuralCooperativa de eletrificação ruralNão se aplicaNão se aplicaFora ponta",Mercado_Receita!$L$2:$L$174)</f>
        <v>0</v>
      </c>
      <c r="M33" s="13">
        <f>SUMIF(Mercado_Receita!$S$2:$S$174,"44621B2BrancaRuralCooperativa de eletrificação ruralNão se aplicaNão se aplicaFora ponta",Mercado_Receita!$L$2:$L$174)</f>
        <v>0</v>
      </c>
      <c r="N33" s="13">
        <f>SUMIF(Mercado_Receita!$S$2:$S$174,"44652B2BrancaRuralCooperativa de eletrificação ruralNão se aplicaNão se aplicaFora ponta",Mercado_Receita!$L$2:$L$174)</f>
        <v>0</v>
      </c>
      <c r="O33" s="13">
        <f>SUMIF(Mercado_Receita!$S$2:$S$174,"44682B2BrancaRuralCooperativa de eletrificação ruralNão se aplicaNão se aplicaFora ponta",Mercado_Receita!$L$2:$L$174)</f>
        <v>0</v>
      </c>
      <c r="P33" s="13">
        <f>SUMIF(Mercado_Receita!$S$2:$S$174,"44713B2BrancaRuralCooperativa de eletrificação ruralNão se aplicaNão se aplicaFora ponta",Mercado_Receita!$L$2:$L$174)</f>
        <v>0</v>
      </c>
      <c r="Q33" s="13">
        <f>SUMIF(Mercado_Receita!$S$2:$S$174,"44743B2BrancaRuralCooperativa de eletrificação ruralNão se aplicaNão se aplicaFora ponta",Mercado_Receita!$L$2:$L$174)</f>
        <v>0</v>
      </c>
      <c r="R33" s="13">
        <f>SUMIF(Mercado_Receita!$S$2:$S$174,"44774B2BrancaRuralCooperativa de eletrificação ruralNão se aplicaNão se aplicaFora ponta",Mercado_Receita!$L$2:$L$174)</f>
        <v>0</v>
      </c>
      <c r="S33" s="13">
        <f>SUMIF(Mercado_Receita!$S$2:$S$174,"44805B2BrancaRuralCooperativa de eletrificação ruralNão se aplicaNão se aplicaFora ponta",Mercado_Receita!$L$2:$L$174)</f>
        <v>0</v>
      </c>
      <c r="T33" s="13">
        <f>SUMIF(Mercado_Receita!$S$2:$S$174,"44835B2BrancaRuralCooperativa de eletrificação ruralNão se aplicaNão se aplicaFora ponta",Mercado_Receita!$L$2:$L$174)</f>
        <v>0</v>
      </c>
      <c r="U33" s="13">
        <f t="shared" si="0"/>
        <v>0</v>
      </c>
      <c r="V33" s="13"/>
      <c r="W33" s="13"/>
    </row>
    <row r="34" spans="1:23" ht="11.25" customHeight="1" x14ac:dyDescent="0.25">
      <c r="A34" s="89"/>
      <c r="B34" s="12" t="s">
        <v>23</v>
      </c>
      <c r="C34" s="12" t="s">
        <v>32</v>
      </c>
      <c r="D34" s="12" t="s">
        <v>79</v>
      </c>
      <c r="E34" s="12" t="s">
        <v>25</v>
      </c>
      <c r="F34" s="12" t="s">
        <v>25</v>
      </c>
      <c r="G34" s="13" t="s">
        <v>67</v>
      </c>
      <c r="H34" s="13" t="s">
        <v>60</v>
      </c>
      <c r="I34" s="13">
        <f>SUMIF(Mercado_Receita!$S$2:$S$174,"44501B2ConvencionalRuralCooperativa de eletrificação ruralNão se aplicaNão se aplicaPonta",Mercado_Receita!$L$2:$L$174)+SUMIF(Mercado_Receita!$S$2:$S$174,"44501B2ConvencionalRuralCooperativa de eletrificação ruralNão se aplicaNão se aplicaFora ponta",Mercado_Receita!$L$2:$L$174)+SUMIF(Mercado_Receita!$S$2:$S$174,"44501B2ConvencionalRuralCooperativa de eletrificação ruralNão se aplicaNão se aplicaIntermediário",Mercado_Receita!$L$2:$L$174)+SUMIF(Mercado_Receita!$S$2:$S$174,"44501B2ConvencionalRuralCooperativa de eletrificação ruralNão se aplicaNão se aplicaNão se aplica",Mercado_Receita!$L$2:$L$174)</f>
        <v>0</v>
      </c>
      <c r="J34" s="13">
        <f>SUMIF(Mercado_Receita!$S$2:$S$174,"44531B2ConvencionalRuralCooperativa de eletrificação ruralNão se aplicaNão se aplicaPonta",Mercado_Receita!$L$2:$L$174)+SUMIF(Mercado_Receita!$S$2:$S$174,"44531B2ConvencionalRuralCooperativa de eletrificação ruralNão se aplicaNão se aplicaFora ponta",Mercado_Receita!$L$2:$L$174)+SUMIF(Mercado_Receita!$S$2:$S$174,"44531B2ConvencionalRuralCooperativa de eletrificação ruralNão se aplicaNão se aplicaIntermediário",Mercado_Receita!$L$2:$L$174)+SUMIF(Mercado_Receita!$S$2:$S$174,"44531B2ConvencionalRuralCooperativa de eletrificação ruralNão se aplicaNão se aplicaNão se aplica",Mercado_Receita!$L$2:$L$174)</f>
        <v>0</v>
      </c>
      <c r="K34" s="13">
        <f>SUMIF(Mercado_Receita!$S$2:$S$174,"44562B2ConvencionalRuralCooperativa de eletrificação ruralNão se aplicaNão se aplicaPonta",Mercado_Receita!$L$2:$L$174)+SUMIF(Mercado_Receita!$S$2:$S$174,"44562B2ConvencionalRuralCooperativa de eletrificação ruralNão se aplicaNão se aplicaFora ponta",Mercado_Receita!$L$2:$L$174)+SUMIF(Mercado_Receita!$S$2:$S$174,"44562B2ConvencionalRuralCooperativa de eletrificação ruralNão se aplicaNão se aplicaIntermediário",Mercado_Receita!$L$2:$L$174)+SUMIF(Mercado_Receita!$S$2:$S$174,"44562B2ConvencionalRuralCooperativa de eletrificação ruralNão se aplicaNão se aplicaNão se aplica",Mercado_Receita!$L$2:$L$174)</f>
        <v>0</v>
      </c>
      <c r="L34" s="13">
        <f>SUMIF(Mercado_Receita!$S$2:$S$174,"44593B2ConvencionalRuralCooperativa de eletrificação ruralNão se aplicaNão se aplicaPonta",Mercado_Receita!$L$2:$L$174)+SUMIF(Mercado_Receita!$S$2:$S$174,"44593B2ConvencionalRuralCooperativa de eletrificação ruralNão se aplicaNão se aplicaFora ponta",Mercado_Receita!$L$2:$L$174)+SUMIF(Mercado_Receita!$S$2:$S$174,"44593B2ConvencionalRuralCooperativa de eletrificação ruralNão se aplicaNão se aplicaIntermediário",Mercado_Receita!$L$2:$L$174)+SUMIF(Mercado_Receita!$S$2:$S$174,"44593B2ConvencionalRuralCooperativa de eletrificação ruralNão se aplicaNão se aplicaNão se aplica",Mercado_Receita!$L$2:$L$174)</f>
        <v>0</v>
      </c>
      <c r="M34" s="13">
        <f>SUMIF(Mercado_Receita!$S$2:$S$174,"44621B2ConvencionalRuralCooperativa de eletrificação ruralNão se aplicaNão se aplicaPonta",Mercado_Receita!$L$2:$L$174)+SUMIF(Mercado_Receita!$S$2:$S$174,"44621B2ConvencionalRuralCooperativa de eletrificação ruralNão se aplicaNão se aplicaFora ponta",Mercado_Receita!$L$2:$L$174)+SUMIF(Mercado_Receita!$S$2:$S$174,"44621B2ConvencionalRuralCooperativa de eletrificação ruralNão se aplicaNão se aplicaIntermediário",Mercado_Receita!$L$2:$L$174)+SUMIF(Mercado_Receita!$S$2:$S$174,"44621B2ConvencionalRuralCooperativa de eletrificação ruralNão se aplicaNão se aplicaNão se aplica",Mercado_Receita!$L$2:$L$174)</f>
        <v>0</v>
      </c>
      <c r="N34" s="13">
        <f>SUMIF(Mercado_Receita!$S$2:$S$174,"44652B2ConvencionalRuralCooperativa de eletrificação ruralNão se aplicaNão se aplicaPonta",Mercado_Receita!$L$2:$L$174)+SUMIF(Mercado_Receita!$S$2:$S$174,"44652B2ConvencionalRuralCooperativa de eletrificação ruralNão se aplicaNão se aplicaFora ponta",Mercado_Receita!$L$2:$L$174)+SUMIF(Mercado_Receita!$S$2:$S$174,"44652B2ConvencionalRuralCooperativa de eletrificação ruralNão se aplicaNão se aplicaIntermediário",Mercado_Receita!$L$2:$L$174)+SUMIF(Mercado_Receita!$S$2:$S$174,"44652B2ConvencionalRuralCooperativa de eletrificação ruralNão se aplicaNão se aplicaNão se aplica",Mercado_Receita!$L$2:$L$174)</f>
        <v>0</v>
      </c>
      <c r="O34" s="13">
        <f>SUMIF(Mercado_Receita!$S$2:$S$174,"44682B2ConvencionalRuralCooperativa de eletrificação ruralNão se aplicaNão se aplicaPonta",Mercado_Receita!$L$2:$L$174)+SUMIF(Mercado_Receita!$S$2:$S$174,"44682B2ConvencionalRuralCooperativa de eletrificação ruralNão se aplicaNão se aplicaFora ponta",Mercado_Receita!$L$2:$L$174)+SUMIF(Mercado_Receita!$S$2:$S$174,"44682B2ConvencionalRuralCooperativa de eletrificação ruralNão se aplicaNão se aplicaIntermediário",Mercado_Receita!$L$2:$L$174)+SUMIF(Mercado_Receita!$S$2:$S$174,"44682B2ConvencionalRuralCooperativa de eletrificação ruralNão se aplicaNão se aplicaNão se aplica",Mercado_Receita!$L$2:$L$174)</f>
        <v>0</v>
      </c>
      <c r="P34" s="13">
        <f>SUMIF(Mercado_Receita!$S$2:$S$174,"44713B2ConvencionalRuralCooperativa de eletrificação ruralNão se aplicaNão se aplicaPonta",Mercado_Receita!$L$2:$L$174)+SUMIF(Mercado_Receita!$S$2:$S$174,"44713B2ConvencionalRuralCooperativa de eletrificação ruralNão se aplicaNão se aplicaFora ponta",Mercado_Receita!$L$2:$L$174)+SUMIF(Mercado_Receita!$S$2:$S$174,"44713B2ConvencionalRuralCooperativa de eletrificação ruralNão se aplicaNão se aplicaIntermediário",Mercado_Receita!$L$2:$L$174)+SUMIF(Mercado_Receita!$S$2:$S$174,"44713B2ConvencionalRuralCooperativa de eletrificação ruralNão se aplicaNão se aplicaNão se aplica",Mercado_Receita!$L$2:$L$174)</f>
        <v>0</v>
      </c>
      <c r="Q34" s="13">
        <f>SUMIF(Mercado_Receita!$S$2:$S$174,"44743B2ConvencionalRuralCooperativa de eletrificação ruralNão se aplicaNão se aplicaPonta",Mercado_Receita!$L$2:$L$174)+SUMIF(Mercado_Receita!$S$2:$S$174,"44743B2ConvencionalRuralCooperativa de eletrificação ruralNão se aplicaNão se aplicaFora ponta",Mercado_Receita!$L$2:$L$174)+SUMIF(Mercado_Receita!$S$2:$S$174,"44743B2ConvencionalRuralCooperativa de eletrificação ruralNão se aplicaNão se aplicaIntermediário",Mercado_Receita!$L$2:$L$174)+SUMIF(Mercado_Receita!$S$2:$S$174,"44743B2ConvencionalRuralCooperativa de eletrificação ruralNão se aplicaNão se aplicaNão se aplica",Mercado_Receita!$L$2:$L$174)</f>
        <v>0</v>
      </c>
      <c r="R34" s="13">
        <f>SUMIF(Mercado_Receita!$S$2:$S$174,"44774B2ConvencionalRuralCooperativa de eletrificação ruralNão se aplicaNão se aplicaPonta",Mercado_Receita!$L$2:$L$174)+SUMIF(Mercado_Receita!$S$2:$S$174,"44774B2ConvencionalRuralCooperativa de eletrificação ruralNão se aplicaNão se aplicaFora ponta",Mercado_Receita!$L$2:$L$174)+SUMIF(Mercado_Receita!$S$2:$S$174,"44774B2ConvencionalRuralCooperativa de eletrificação ruralNão se aplicaNão se aplicaIntermediário",Mercado_Receita!$L$2:$L$174)+SUMIF(Mercado_Receita!$S$2:$S$174,"44774B2ConvencionalRuralCooperativa de eletrificação ruralNão se aplicaNão se aplicaNão se aplica",Mercado_Receita!$L$2:$L$174)</f>
        <v>0</v>
      </c>
      <c r="S34" s="13">
        <f>SUMIF(Mercado_Receita!$S$2:$S$174,"44805B2ConvencionalRuralCooperativa de eletrificação ruralNão se aplicaNão se aplicaPonta",Mercado_Receita!$L$2:$L$174)+SUMIF(Mercado_Receita!$S$2:$S$174,"44805B2ConvencionalRuralCooperativa de eletrificação ruralNão se aplicaNão se aplicaFora ponta",Mercado_Receita!$L$2:$L$174)+SUMIF(Mercado_Receita!$S$2:$S$174,"44805B2ConvencionalRuralCooperativa de eletrificação ruralNão se aplicaNão se aplicaIntermediário",Mercado_Receita!$L$2:$L$174)+SUMIF(Mercado_Receita!$S$2:$S$174,"44805B2ConvencionalRuralCooperativa de eletrificação ruralNão se aplicaNão se aplicaNão se aplica",Mercado_Receita!$L$2:$L$174)</f>
        <v>0</v>
      </c>
      <c r="T34" s="13">
        <f>SUMIF(Mercado_Receita!$S$2:$S$174,"44835B2ConvencionalRuralCooperativa de eletrificação ruralNão se aplicaNão se aplicaPonta",Mercado_Receita!$L$2:$L$174)+SUMIF(Mercado_Receita!$S$2:$S$174,"44835B2ConvencionalRuralCooperativa de eletrificação ruralNão se aplicaNão se aplicaFora ponta",Mercado_Receita!$L$2:$L$174)+SUMIF(Mercado_Receita!$S$2:$S$174,"44835B2ConvencionalRuralCooperativa de eletrificação ruralNão se aplicaNão se aplicaIntermediário",Mercado_Receita!$L$2:$L$174)+SUMIF(Mercado_Receita!$S$2:$S$174,"44835B2ConvencionalRuralCooperativa de eletrificação ruralNão se aplicaNão se aplicaNão se aplica",Mercado_Receita!$L$2:$L$174)</f>
        <v>0</v>
      </c>
      <c r="U34" s="13">
        <f t="shared" si="0"/>
        <v>0</v>
      </c>
      <c r="V34" s="13"/>
      <c r="W34" s="13"/>
    </row>
    <row r="35" spans="1:23" ht="11.25" customHeight="1" x14ac:dyDescent="0.25">
      <c r="A35" s="89"/>
      <c r="B35" s="88" t="s">
        <v>76</v>
      </c>
      <c r="C35" s="88" t="s">
        <v>32</v>
      </c>
      <c r="D35" s="88" t="s">
        <v>80</v>
      </c>
      <c r="E35" s="88" t="s">
        <v>25</v>
      </c>
      <c r="F35" s="88" t="s">
        <v>25</v>
      </c>
      <c r="G35" s="13" t="s">
        <v>61</v>
      </c>
      <c r="H35" s="13" t="s">
        <v>60</v>
      </c>
      <c r="I35" s="13">
        <f>SUMIF(Mercado_Receita!$S$2:$S$174,"44501B2BrancaRuralServiço público de irrigação ruralNão se aplicaNão se aplicaPonta",Mercado_Receita!$L$2:$L$174)</f>
        <v>0</v>
      </c>
      <c r="J35" s="13">
        <f>SUMIF(Mercado_Receita!$S$2:$S$174,"44531B2BrancaRuralServiço público de irrigação ruralNão se aplicaNão se aplicaPonta",Mercado_Receita!$L$2:$L$174)</f>
        <v>0</v>
      </c>
      <c r="K35" s="13">
        <f>SUMIF(Mercado_Receita!$S$2:$S$174,"44562B2BrancaRuralServiço público de irrigação ruralNão se aplicaNão se aplicaPonta",Mercado_Receita!$L$2:$L$174)</f>
        <v>0</v>
      </c>
      <c r="L35" s="13">
        <f>SUMIF(Mercado_Receita!$S$2:$S$174,"44593B2BrancaRuralServiço público de irrigação ruralNão se aplicaNão se aplicaPonta",Mercado_Receita!$L$2:$L$174)</f>
        <v>0</v>
      </c>
      <c r="M35" s="13">
        <f>SUMIF(Mercado_Receita!$S$2:$S$174,"44621B2BrancaRuralServiço público de irrigação ruralNão se aplicaNão se aplicaPonta",Mercado_Receita!$L$2:$L$174)</f>
        <v>0</v>
      </c>
      <c r="N35" s="13">
        <f>SUMIF(Mercado_Receita!$S$2:$S$174,"44652B2BrancaRuralServiço público de irrigação ruralNão se aplicaNão se aplicaPonta",Mercado_Receita!$L$2:$L$174)</f>
        <v>0</v>
      </c>
      <c r="O35" s="13">
        <f>SUMIF(Mercado_Receita!$S$2:$S$174,"44682B2BrancaRuralServiço público de irrigação ruralNão se aplicaNão se aplicaPonta",Mercado_Receita!$L$2:$L$174)</f>
        <v>0</v>
      </c>
      <c r="P35" s="13">
        <f>SUMIF(Mercado_Receita!$S$2:$S$174,"44713B2BrancaRuralServiço público de irrigação ruralNão se aplicaNão se aplicaPonta",Mercado_Receita!$L$2:$L$174)</f>
        <v>0</v>
      </c>
      <c r="Q35" s="13">
        <f>SUMIF(Mercado_Receita!$S$2:$S$174,"44743B2BrancaRuralServiço público de irrigação ruralNão se aplicaNão se aplicaPonta",Mercado_Receita!$L$2:$L$174)</f>
        <v>0</v>
      </c>
      <c r="R35" s="13">
        <f>SUMIF(Mercado_Receita!$S$2:$S$174,"44774B2BrancaRuralServiço público de irrigação ruralNão se aplicaNão se aplicaPonta",Mercado_Receita!$L$2:$L$174)</f>
        <v>0</v>
      </c>
      <c r="S35" s="13">
        <f>SUMIF(Mercado_Receita!$S$2:$S$174,"44805B2BrancaRuralServiço público de irrigação ruralNão se aplicaNão se aplicaPonta",Mercado_Receita!$L$2:$L$174)</f>
        <v>0</v>
      </c>
      <c r="T35" s="13">
        <f>SUMIF(Mercado_Receita!$S$2:$S$174,"44835B2BrancaRuralServiço público de irrigação ruralNão se aplicaNão se aplicaPonta",Mercado_Receita!$L$2:$L$174)</f>
        <v>0</v>
      </c>
      <c r="U35" s="13">
        <f t="shared" si="0"/>
        <v>0</v>
      </c>
      <c r="V35" s="13"/>
      <c r="W35" s="13"/>
    </row>
    <row r="36" spans="1:23" ht="11.25" customHeight="1" x14ac:dyDescent="0.25">
      <c r="A36" s="89"/>
      <c r="B36" s="89"/>
      <c r="C36" s="89"/>
      <c r="D36" s="89"/>
      <c r="E36" s="89"/>
      <c r="F36" s="89"/>
      <c r="G36" s="13" t="s">
        <v>74</v>
      </c>
      <c r="H36" s="13" t="s">
        <v>60</v>
      </c>
      <c r="I36" s="13">
        <f>SUMIF(Mercado_Receita!$S$2:$S$174,"44501B2BrancaRuralServiço público de irrigação ruralNão se aplicaNão se aplicaIntermediário",Mercado_Receita!$L$2:$L$174)</f>
        <v>0</v>
      </c>
      <c r="J36" s="13">
        <f>SUMIF(Mercado_Receita!$S$2:$S$174,"44531B2BrancaRuralServiço público de irrigação ruralNão se aplicaNão se aplicaIntermediário",Mercado_Receita!$L$2:$L$174)</f>
        <v>0</v>
      </c>
      <c r="K36" s="13">
        <f>SUMIF(Mercado_Receita!$S$2:$S$174,"44562B2BrancaRuralServiço público de irrigação ruralNão se aplicaNão se aplicaIntermediário",Mercado_Receita!$L$2:$L$174)</f>
        <v>0</v>
      </c>
      <c r="L36" s="13">
        <f>SUMIF(Mercado_Receita!$S$2:$S$174,"44593B2BrancaRuralServiço público de irrigação ruralNão se aplicaNão se aplicaIntermediário",Mercado_Receita!$L$2:$L$174)</f>
        <v>0</v>
      </c>
      <c r="M36" s="13">
        <f>SUMIF(Mercado_Receita!$S$2:$S$174,"44621B2BrancaRuralServiço público de irrigação ruralNão se aplicaNão se aplicaIntermediário",Mercado_Receita!$L$2:$L$174)</f>
        <v>0</v>
      </c>
      <c r="N36" s="13">
        <f>SUMIF(Mercado_Receita!$S$2:$S$174,"44652B2BrancaRuralServiço público de irrigação ruralNão se aplicaNão se aplicaIntermediário",Mercado_Receita!$L$2:$L$174)</f>
        <v>0</v>
      </c>
      <c r="O36" s="13">
        <f>SUMIF(Mercado_Receita!$S$2:$S$174,"44682B2BrancaRuralServiço público de irrigação ruralNão se aplicaNão se aplicaIntermediário",Mercado_Receita!$L$2:$L$174)</f>
        <v>0</v>
      </c>
      <c r="P36" s="13">
        <f>SUMIF(Mercado_Receita!$S$2:$S$174,"44713B2BrancaRuralServiço público de irrigação ruralNão se aplicaNão se aplicaIntermediário",Mercado_Receita!$L$2:$L$174)</f>
        <v>0</v>
      </c>
      <c r="Q36" s="13">
        <f>SUMIF(Mercado_Receita!$S$2:$S$174,"44743B2BrancaRuralServiço público de irrigação ruralNão se aplicaNão se aplicaIntermediário",Mercado_Receita!$L$2:$L$174)</f>
        <v>0</v>
      </c>
      <c r="R36" s="13">
        <f>SUMIF(Mercado_Receita!$S$2:$S$174,"44774B2BrancaRuralServiço público de irrigação ruralNão se aplicaNão se aplicaIntermediário",Mercado_Receita!$L$2:$L$174)</f>
        <v>0</v>
      </c>
      <c r="S36" s="13">
        <f>SUMIF(Mercado_Receita!$S$2:$S$174,"44805B2BrancaRuralServiço público de irrigação ruralNão se aplicaNão se aplicaIntermediário",Mercado_Receita!$L$2:$L$174)</f>
        <v>0</v>
      </c>
      <c r="T36" s="13">
        <f>SUMIF(Mercado_Receita!$S$2:$S$174,"44835B2BrancaRuralServiço público de irrigação ruralNão se aplicaNão se aplicaIntermediário",Mercado_Receita!$L$2:$L$174)</f>
        <v>0</v>
      </c>
      <c r="U36" s="13">
        <f t="shared" si="0"/>
        <v>0</v>
      </c>
      <c r="V36" s="13"/>
      <c r="W36" s="13"/>
    </row>
    <row r="37" spans="1:23" ht="11.25" customHeight="1" x14ac:dyDescent="0.25">
      <c r="A37" s="89"/>
      <c r="B37" s="89"/>
      <c r="C37" s="89"/>
      <c r="D37" s="89"/>
      <c r="E37" s="89"/>
      <c r="F37" s="89"/>
      <c r="G37" s="13" t="s">
        <v>62</v>
      </c>
      <c r="H37" s="13" t="s">
        <v>60</v>
      </c>
      <c r="I37" s="13">
        <f>SUMIF(Mercado_Receita!$S$2:$S$174,"44501B2BrancaRuralServiço público de irrigação ruralNão se aplicaNão se aplicaFora ponta",Mercado_Receita!$L$2:$L$174)</f>
        <v>0</v>
      </c>
      <c r="J37" s="13">
        <f>SUMIF(Mercado_Receita!$S$2:$S$174,"44531B2BrancaRuralServiço público de irrigação ruralNão se aplicaNão se aplicaFora ponta",Mercado_Receita!$L$2:$L$174)</f>
        <v>0</v>
      </c>
      <c r="K37" s="13">
        <f>SUMIF(Mercado_Receita!$S$2:$S$174,"44562B2BrancaRuralServiço público de irrigação ruralNão se aplicaNão se aplicaFora ponta",Mercado_Receita!$L$2:$L$174)</f>
        <v>0</v>
      </c>
      <c r="L37" s="13">
        <f>SUMIF(Mercado_Receita!$S$2:$S$174,"44593B2BrancaRuralServiço público de irrigação ruralNão se aplicaNão se aplicaFora ponta",Mercado_Receita!$L$2:$L$174)</f>
        <v>0</v>
      </c>
      <c r="M37" s="13">
        <f>SUMIF(Mercado_Receita!$S$2:$S$174,"44621B2BrancaRuralServiço público de irrigação ruralNão se aplicaNão se aplicaFora ponta",Mercado_Receita!$L$2:$L$174)</f>
        <v>0</v>
      </c>
      <c r="N37" s="13">
        <f>SUMIF(Mercado_Receita!$S$2:$S$174,"44652B2BrancaRuralServiço público de irrigação ruralNão se aplicaNão se aplicaFora ponta",Mercado_Receita!$L$2:$L$174)</f>
        <v>0</v>
      </c>
      <c r="O37" s="13">
        <f>SUMIF(Mercado_Receita!$S$2:$S$174,"44682B2BrancaRuralServiço público de irrigação ruralNão se aplicaNão se aplicaFora ponta",Mercado_Receita!$L$2:$L$174)</f>
        <v>0</v>
      </c>
      <c r="P37" s="13">
        <f>SUMIF(Mercado_Receita!$S$2:$S$174,"44713B2BrancaRuralServiço público de irrigação ruralNão se aplicaNão se aplicaFora ponta",Mercado_Receita!$L$2:$L$174)</f>
        <v>0</v>
      </c>
      <c r="Q37" s="13">
        <f>SUMIF(Mercado_Receita!$S$2:$S$174,"44743B2BrancaRuralServiço público de irrigação ruralNão se aplicaNão se aplicaFora ponta",Mercado_Receita!$L$2:$L$174)</f>
        <v>0</v>
      </c>
      <c r="R37" s="13">
        <f>SUMIF(Mercado_Receita!$S$2:$S$174,"44774B2BrancaRuralServiço público de irrigação ruralNão se aplicaNão se aplicaFora ponta",Mercado_Receita!$L$2:$L$174)</f>
        <v>0</v>
      </c>
      <c r="S37" s="13">
        <f>SUMIF(Mercado_Receita!$S$2:$S$174,"44805B2BrancaRuralServiço público de irrigação ruralNão se aplicaNão se aplicaFora ponta",Mercado_Receita!$L$2:$L$174)</f>
        <v>0</v>
      </c>
      <c r="T37" s="13">
        <f>SUMIF(Mercado_Receita!$S$2:$S$174,"44835B2BrancaRuralServiço público de irrigação ruralNão se aplicaNão se aplicaFora ponta",Mercado_Receita!$L$2:$L$174)</f>
        <v>0</v>
      </c>
      <c r="U37" s="13">
        <f t="shared" si="0"/>
        <v>0</v>
      </c>
      <c r="V37" s="13"/>
      <c r="W37" s="13"/>
    </row>
    <row r="38" spans="1:23" ht="11.25" customHeight="1" x14ac:dyDescent="0.25">
      <c r="A38" s="89"/>
      <c r="B38" s="12" t="s">
        <v>23</v>
      </c>
      <c r="C38" s="12" t="s">
        <v>32</v>
      </c>
      <c r="D38" s="12" t="s">
        <v>80</v>
      </c>
      <c r="E38" s="12" t="s">
        <v>25</v>
      </c>
      <c r="F38" s="12" t="s">
        <v>25</v>
      </c>
      <c r="G38" s="13" t="s">
        <v>67</v>
      </c>
      <c r="H38" s="13" t="s">
        <v>60</v>
      </c>
      <c r="I38" s="13">
        <f>SUMIF(Mercado_Receita!$S$2:$S$174,"44501B2ConvencionalRuralServiço público de irrigação ruralNão se aplicaNão se aplicaPonta",Mercado_Receita!$L$2:$L$174)+SUMIF(Mercado_Receita!$S$2:$S$174,"44501B2ConvencionalRuralServiço público de irrigação ruralNão se aplicaNão se aplicaFora ponta",Mercado_Receita!$L$2:$L$174)+SUMIF(Mercado_Receita!$S$2:$S$174,"44501B2ConvencionalRuralServiço público de irrigação ruralNão se aplicaNão se aplicaIntermediário",Mercado_Receita!$L$2:$L$174)+SUMIF(Mercado_Receita!$S$2:$S$174,"44501B2ConvencionalRuralServiço público de irrigação ruralNão se aplicaNão se aplicaNão se aplica",Mercado_Receita!$L$2:$L$174)</f>
        <v>0</v>
      </c>
      <c r="J38" s="13">
        <f>SUMIF(Mercado_Receita!$S$2:$S$174,"44531B2ConvencionalRuralServiço público de irrigação ruralNão se aplicaNão se aplicaPonta",Mercado_Receita!$L$2:$L$174)+SUMIF(Mercado_Receita!$S$2:$S$174,"44531B2ConvencionalRuralServiço público de irrigação ruralNão se aplicaNão se aplicaFora ponta",Mercado_Receita!$L$2:$L$174)+SUMIF(Mercado_Receita!$S$2:$S$174,"44531B2ConvencionalRuralServiço público de irrigação ruralNão se aplicaNão se aplicaIntermediário",Mercado_Receita!$L$2:$L$174)+SUMIF(Mercado_Receita!$S$2:$S$174,"44531B2ConvencionalRuralServiço público de irrigação ruralNão se aplicaNão se aplicaNão se aplica",Mercado_Receita!$L$2:$L$174)</f>
        <v>0</v>
      </c>
      <c r="K38" s="13">
        <f>SUMIF(Mercado_Receita!$S$2:$S$174,"44562B2ConvencionalRuralServiço público de irrigação ruralNão se aplicaNão se aplicaPonta",Mercado_Receita!$L$2:$L$174)+SUMIF(Mercado_Receita!$S$2:$S$174,"44562B2ConvencionalRuralServiço público de irrigação ruralNão se aplicaNão se aplicaFora ponta",Mercado_Receita!$L$2:$L$174)+SUMIF(Mercado_Receita!$S$2:$S$174,"44562B2ConvencionalRuralServiço público de irrigação ruralNão se aplicaNão se aplicaIntermediário",Mercado_Receita!$L$2:$L$174)+SUMIF(Mercado_Receita!$S$2:$S$174,"44562B2ConvencionalRuralServiço público de irrigação ruralNão se aplicaNão se aplicaNão se aplica",Mercado_Receita!$L$2:$L$174)</f>
        <v>0</v>
      </c>
      <c r="L38" s="13">
        <f>SUMIF(Mercado_Receita!$S$2:$S$174,"44593B2ConvencionalRuralServiço público de irrigação ruralNão se aplicaNão se aplicaPonta",Mercado_Receita!$L$2:$L$174)+SUMIF(Mercado_Receita!$S$2:$S$174,"44593B2ConvencionalRuralServiço público de irrigação ruralNão se aplicaNão se aplicaFora ponta",Mercado_Receita!$L$2:$L$174)+SUMIF(Mercado_Receita!$S$2:$S$174,"44593B2ConvencionalRuralServiço público de irrigação ruralNão se aplicaNão se aplicaIntermediário",Mercado_Receita!$L$2:$L$174)+SUMIF(Mercado_Receita!$S$2:$S$174,"44593B2ConvencionalRuralServiço público de irrigação ruralNão se aplicaNão se aplicaNão se aplica",Mercado_Receita!$L$2:$L$174)</f>
        <v>0</v>
      </c>
      <c r="M38" s="13">
        <f>SUMIF(Mercado_Receita!$S$2:$S$174,"44621B2ConvencionalRuralServiço público de irrigação ruralNão se aplicaNão se aplicaPonta",Mercado_Receita!$L$2:$L$174)+SUMIF(Mercado_Receita!$S$2:$S$174,"44621B2ConvencionalRuralServiço público de irrigação ruralNão se aplicaNão se aplicaFora ponta",Mercado_Receita!$L$2:$L$174)+SUMIF(Mercado_Receita!$S$2:$S$174,"44621B2ConvencionalRuralServiço público de irrigação ruralNão se aplicaNão se aplicaIntermediário",Mercado_Receita!$L$2:$L$174)+SUMIF(Mercado_Receita!$S$2:$S$174,"44621B2ConvencionalRuralServiço público de irrigação ruralNão se aplicaNão se aplicaNão se aplica",Mercado_Receita!$L$2:$L$174)</f>
        <v>0</v>
      </c>
      <c r="N38" s="13">
        <f>SUMIF(Mercado_Receita!$S$2:$S$174,"44652B2ConvencionalRuralServiço público de irrigação ruralNão se aplicaNão se aplicaPonta",Mercado_Receita!$L$2:$L$174)+SUMIF(Mercado_Receita!$S$2:$S$174,"44652B2ConvencionalRuralServiço público de irrigação ruralNão se aplicaNão se aplicaFora ponta",Mercado_Receita!$L$2:$L$174)+SUMIF(Mercado_Receita!$S$2:$S$174,"44652B2ConvencionalRuralServiço público de irrigação ruralNão se aplicaNão se aplicaIntermediário",Mercado_Receita!$L$2:$L$174)+SUMIF(Mercado_Receita!$S$2:$S$174,"44652B2ConvencionalRuralServiço público de irrigação ruralNão se aplicaNão se aplicaNão se aplica",Mercado_Receita!$L$2:$L$174)</f>
        <v>0</v>
      </c>
      <c r="O38" s="13">
        <f>SUMIF(Mercado_Receita!$S$2:$S$174,"44682B2ConvencionalRuralServiço público de irrigação ruralNão se aplicaNão se aplicaPonta",Mercado_Receita!$L$2:$L$174)+SUMIF(Mercado_Receita!$S$2:$S$174,"44682B2ConvencionalRuralServiço público de irrigação ruralNão se aplicaNão se aplicaFora ponta",Mercado_Receita!$L$2:$L$174)+SUMIF(Mercado_Receita!$S$2:$S$174,"44682B2ConvencionalRuralServiço público de irrigação ruralNão se aplicaNão se aplicaIntermediário",Mercado_Receita!$L$2:$L$174)+SUMIF(Mercado_Receita!$S$2:$S$174,"44682B2ConvencionalRuralServiço público de irrigação ruralNão se aplicaNão se aplicaNão se aplica",Mercado_Receita!$L$2:$L$174)</f>
        <v>0</v>
      </c>
      <c r="P38" s="13">
        <f>SUMIF(Mercado_Receita!$S$2:$S$174,"44713B2ConvencionalRuralServiço público de irrigação ruralNão se aplicaNão se aplicaPonta",Mercado_Receita!$L$2:$L$174)+SUMIF(Mercado_Receita!$S$2:$S$174,"44713B2ConvencionalRuralServiço público de irrigação ruralNão se aplicaNão se aplicaFora ponta",Mercado_Receita!$L$2:$L$174)+SUMIF(Mercado_Receita!$S$2:$S$174,"44713B2ConvencionalRuralServiço público de irrigação ruralNão se aplicaNão se aplicaIntermediário",Mercado_Receita!$L$2:$L$174)+SUMIF(Mercado_Receita!$S$2:$S$174,"44713B2ConvencionalRuralServiço público de irrigação ruralNão se aplicaNão se aplicaNão se aplica",Mercado_Receita!$L$2:$L$174)</f>
        <v>0</v>
      </c>
      <c r="Q38" s="13">
        <f>SUMIF(Mercado_Receita!$S$2:$S$174,"44743B2ConvencionalRuralServiço público de irrigação ruralNão se aplicaNão se aplicaPonta",Mercado_Receita!$L$2:$L$174)+SUMIF(Mercado_Receita!$S$2:$S$174,"44743B2ConvencionalRuralServiço público de irrigação ruralNão se aplicaNão se aplicaFora ponta",Mercado_Receita!$L$2:$L$174)+SUMIF(Mercado_Receita!$S$2:$S$174,"44743B2ConvencionalRuralServiço público de irrigação ruralNão se aplicaNão se aplicaIntermediário",Mercado_Receita!$L$2:$L$174)+SUMIF(Mercado_Receita!$S$2:$S$174,"44743B2ConvencionalRuralServiço público de irrigação ruralNão se aplicaNão se aplicaNão se aplica",Mercado_Receita!$L$2:$L$174)</f>
        <v>0</v>
      </c>
      <c r="R38" s="13">
        <f>SUMIF(Mercado_Receita!$S$2:$S$174,"44774B2ConvencionalRuralServiço público de irrigação ruralNão se aplicaNão se aplicaPonta",Mercado_Receita!$L$2:$L$174)+SUMIF(Mercado_Receita!$S$2:$S$174,"44774B2ConvencionalRuralServiço público de irrigação ruralNão se aplicaNão se aplicaFora ponta",Mercado_Receita!$L$2:$L$174)+SUMIF(Mercado_Receita!$S$2:$S$174,"44774B2ConvencionalRuralServiço público de irrigação ruralNão se aplicaNão se aplicaIntermediário",Mercado_Receita!$L$2:$L$174)+SUMIF(Mercado_Receita!$S$2:$S$174,"44774B2ConvencionalRuralServiço público de irrigação ruralNão se aplicaNão se aplicaNão se aplica",Mercado_Receita!$L$2:$L$174)</f>
        <v>0</v>
      </c>
      <c r="S38" s="13">
        <f>SUMIF(Mercado_Receita!$S$2:$S$174,"44805B2ConvencionalRuralServiço público de irrigação ruralNão se aplicaNão se aplicaPonta",Mercado_Receita!$L$2:$L$174)+SUMIF(Mercado_Receita!$S$2:$S$174,"44805B2ConvencionalRuralServiço público de irrigação ruralNão se aplicaNão se aplicaFora ponta",Mercado_Receita!$L$2:$L$174)+SUMIF(Mercado_Receita!$S$2:$S$174,"44805B2ConvencionalRuralServiço público de irrigação ruralNão se aplicaNão se aplicaIntermediário",Mercado_Receita!$L$2:$L$174)+SUMIF(Mercado_Receita!$S$2:$S$174,"44805B2ConvencionalRuralServiço público de irrigação ruralNão se aplicaNão se aplicaNão se aplica",Mercado_Receita!$L$2:$L$174)</f>
        <v>0</v>
      </c>
      <c r="T38" s="13">
        <f>SUMIF(Mercado_Receita!$S$2:$S$174,"44835B2ConvencionalRuralServiço público de irrigação ruralNão se aplicaNão se aplicaPonta",Mercado_Receita!$L$2:$L$174)+SUMIF(Mercado_Receita!$S$2:$S$174,"44835B2ConvencionalRuralServiço público de irrigação ruralNão se aplicaNão se aplicaFora ponta",Mercado_Receita!$L$2:$L$174)+SUMIF(Mercado_Receita!$S$2:$S$174,"44835B2ConvencionalRuralServiço público de irrigação ruralNão se aplicaNão se aplicaIntermediário",Mercado_Receita!$L$2:$L$174)+SUMIF(Mercado_Receita!$S$2:$S$174,"44835B2ConvencionalRuralServiço público de irrigação ruralNão se aplicaNão se aplicaNão se aplica",Mercado_Receita!$L$2:$L$174)</f>
        <v>0</v>
      </c>
      <c r="U38" s="13">
        <f t="shared" si="0"/>
        <v>0</v>
      </c>
      <c r="V38" s="13"/>
      <c r="W38" s="13"/>
    </row>
    <row r="39" spans="1:23" ht="11.25" customHeight="1" x14ac:dyDescent="0.25">
      <c r="A39" s="89"/>
      <c r="B39" s="88" t="s">
        <v>78</v>
      </c>
      <c r="C39" s="88" t="s">
        <v>32</v>
      </c>
      <c r="D39" s="12" t="s">
        <v>25</v>
      </c>
      <c r="E39" s="12" t="s">
        <v>25</v>
      </c>
      <c r="F39" s="12" t="s">
        <v>25</v>
      </c>
      <c r="G39" s="13" t="s">
        <v>67</v>
      </c>
      <c r="H39" s="13" t="s">
        <v>60</v>
      </c>
      <c r="I39" s="13">
        <f>SUMIF(Mercado_Receita!$S$2:$S$174,"44501B2Convencional pré-pagamentoRuralNão se aplicaNão se aplicaNão se aplicaPonta",Mercado_Receita!$L$2:$L$174)+SUMIF(Mercado_Receita!$S$2:$S$174,"44501B2Convencional pré-pagamentoRuralNão se aplicaNão se aplicaNão se aplicaFora ponta",Mercado_Receita!$L$2:$L$174)+SUMIF(Mercado_Receita!$S$2:$S$174,"44501B2Convencional pré-pagamentoRuralNão se aplicaNão se aplicaNão se aplicaIntermediário",Mercado_Receita!$L$2:$L$174)+SUMIF(Mercado_Receita!$S$2:$S$174,"44501B2Convencional pré-pagamentoRuralNão se aplicaNão se aplicaNão se aplicaNão se aplica",Mercado_Receita!$L$2:$L$174)</f>
        <v>0</v>
      </c>
      <c r="J39" s="13">
        <f>SUMIF(Mercado_Receita!$S$2:$S$174,"44531B2Convencional pré-pagamentoRuralNão se aplicaNão se aplicaNão se aplicaPonta",Mercado_Receita!$L$2:$L$174)+SUMIF(Mercado_Receita!$S$2:$S$174,"44531B2Convencional pré-pagamentoRuralNão se aplicaNão se aplicaNão se aplicaFora ponta",Mercado_Receita!$L$2:$L$174)+SUMIF(Mercado_Receita!$S$2:$S$174,"44531B2Convencional pré-pagamentoRuralNão se aplicaNão se aplicaNão se aplicaIntermediário",Mercado_Receita!$L$2:$L$174)+SUMIF(Mercado_Receita!$S$2:$S$174,"44531B2Convencional pré-pagamentoRuralNão se aplicaNão se aplicaNão se aplicaNão se aplica",Mercado_Receita!$L$2:$L$174)</f>
        <v>0</v>
      </c>
      <c r="K39" s="13">
        <f>SUMIF(Mercado_Receita!$S$2:$S$174,"44562B2Convencional pré-pagamentoRuralNão se aplicaNão se aplicaNão se aplicaPonta",Mercado_Receita!$L$2:$L$174)+SUMIF(Mercado_Receita!$S$2:$S$174,"44562B2Convencional pré-pagamentoRuralNão se aplicaNão se aplicaNão se aplicaFora ponta",Mercado_Receita!$L$2:$L$174)+SUMIF(Mercado_Receita!$S$2:$S$174,"44562B2Convencional pré-pagamentoRuralNão se aplicaNão se aplicaNão se aplicaIntermediário",Mercado_Receita!$L$2:$L$174)+SUMIF(Mercado_Receita!$S$2:$S$174,"44562B2Convencional pré-pagamentoRuralNão se aplicaNão se aplicaNão se aplicaNão se aplica",Mercado_Receita!$L$2:$L$174)</f>
        <v>0</v>
      </c>
      <c r="L39" s="13">
        <f>SUMIF(Mercado_Receita!$S$2:$S$174,"44593B2Convencional pré-pagamentoRuralNão se aplicaNão se aplicaNão se aplicaPonta",Mercado_Receita!$L$2:$L$174)+SUMIF(Mercado_Receita!$S$2:$S$174,"44593B2Convencional pré-pagamentoRuralNão se aplicaNão se aplicaNão se aplicaFora ponta",Mercado_Receita!$L$2:$L$174)+SUMIF(Mercado_Receita!$S$2:$S$174,"44593B2Convencional pré-pagamentoRuralNão se aplicaNão se aplicaNão se aplicaIntermediário",Mercado_Receita!$L$2:$L$174)+SUMIF(Mercado_Receita!$S$2:$S$174,"44593B2Convencional pré-pagamentoRuralNão se aplicaNão se aplicaNão se aplicaNão se aplica",Mercado_Receita!$L$2:$L$174)</f>
        <v>0</v>
      </c>
      <c r="M39" s="13">
        <f>SUMIF(Mercado_Receita!$S$2:$S$174,"44621B2Convencional pré-pagamentoRuralNão se aplicaNão se aplicaNão se aplicaPonta",Mercado_Receita!$L$2:$L$174)+SUMIF(Mercado_Receita!$S$2:$S$174,"44621B2Convencional pré-pagamentoRuralNão se aplicaNão se aplicaNão se aplicaFora ponta",Mercado_Receita!$L$2:$L$174)+SUMIF(Mercado_Receita!$S$2:$S$174,"44621B2Convencional pré-pagamentoRuralNão se aplicaNão se aplicaNão se aplicaIntermediário",Mercado_Receita!$L$2:$L$174)+SUMIF(Mercado_Receita!$S$2:$S$174,"44621B2Convencional pré-pagamentoRuralNão se aplicaNão se aplicaNão se aplicaNão se aplica",Mercado_Receita!$L$2:$L$174)</f>
        <v>0</v>
      </c>
      <c r="N39" s="13">
        <f>SUMIF(Mercado_Receita!$S$2:$S$174,"44652B2Convencional pré-pagamentoRuralNão se aplicaNão se aplicaNão se aplicaPonta",Mercado_Receita!$L$2:$L$174)+SUMIF(Mercado_Receita!$S$2:$S$174,"44652B2Convencional pré-pagamentoRuralNão se aplicaNão se aplicaNão se aplicaFora ponta",Mercado_Receita!$L$2:$L$174)+SUMIF(Mercado_Receita!$S$2:$S$174,"44652B2Convencional pré-pagamentoRuralNão se aplicaNão se aplicaNão se aplicaIntermediário",Mercado_Receita!$L$2:$L$174)+SUMIF(Mercado_Receita!$S$2:$S$174,"44652B2Convencional pré-pagamentoRuralNão se aplicaNão se aplicaNão se aplicaNão se aplica",Mercado_Receita!$L$2:$L$174)</f>
        <v>0</v>
      </c>
      <c r="O39" s="13">
        <f>SUMIF(Mercado_Receita!$S$2:$S$174,"44682B2Convencional pré-pagamentoRuralNão se aplicaNão se aplicaNão se aplicaPonta",Mercado_Receita!$L$2:$L$174)+SUMIF(Mercado_Receita!$S$2:$S$174,"44682B2Convencional pré-pagamentoRuralNão se aplicaNão se aplicaNão se aplicaFora ponta",Mercado_Receita!$L$2:$L$174)+SUMIF(Mercado_Receita!$S$2:$S$174,"44682B2Convencional pré-pagamentoRuralNão se aplicaNão se aplicaNão se aplicaIntermediário",Mercado_Receita!$L$2:$L$174)+SUMIF(Mercado_Receita!$S$2:$S$174,"44682B2Convencional pré-pagamentoRuralNão se aplicaNão se aplicaNão se aplicaNão se aplica",Mercado_Receita!$L$2:$L$174)</f>
        <v>0</v>
      </c>
      <c r="P39" s="13">
        <f>SUMIF(Mercado_Receita!$S$2:$S$174,"44713B2Convencional pré-pagamentoRuralNão se aplicaNão se aplicaNão se aplicaPonta",Mercado_Receita!$L$2:$L$174)+SUMIF(Mercado_Receita!$S$2:$S$174,"44713B2Convencional pré-pagamentoRuralNão se aplicaNão se aplicaNão se aplicaFora ponta",Mercado_Receita!$L$2:$L$174)+SUMIF(Mercado_Receita!$S$2:$S$174,"44713B2Convencional pré-pagamentoRuralNão se aplicaNão se aplicaNão se aplicaIntermediário",Mercado_Receita!$L$2:$L$174)+SUMIF(Mercado_Receita!$S$2:$S$174,"44713B2Convencional pré-pagamentoRuralNão se aplicaNão se aplicaNão se aplicaNão se aplica",Mercado_Receita!$L$2:$L$174)</f>
        <v>0</v>
      </c>
      <c r="Q39" s="13">
        <f>SUMIF(Mercado_Receita!$S$2:$S$174,"44743B2Convencional pré-pagamentoRuralNão se aplicaNão se aplicaNão se aplicaPonta",Mercado_Receita!$L$2:$L$174)+SUMIF(Mercado_Receita!$S$2:$S$174,"44743B2Convencional pré-pagamentoRuralNão se aplicaNão se aplicaNão se aplicaFora ponta",Mercado_Receita!$L$2:$L$174)+SUMIF(Mercado_Receita!$S$2:$S$174,"44743B2Convencional pré-pagamentoRuralNão se aplicaNão se aplicaNão se aplicaIntermediário",Mercado_Receita!$L$2:$L$174)+SUMIF(Mercado_Receita!$S$2:$S$174,"44743B2Convencional pré-pagamentoRuralNão se aplicaNão se aplicaNão se aplicaNão se aplica",Mercado_Receita!$L$2:$L$174)</f>
        <v>0</v>
      </c>
      <c r="R39" s="13">
        <f>SUMIF(Mercado_Receita!$S$2:$S$174,"44774B2Convencional pré-pagamentoRuralNão se aplicaNão se aplicaNão se aplicaPonta",Mercado_Receita!$L$2:$L$174)+SUMIF(Mercado_Receita!$S$2:$S$174,"44774B2Convencional pré-pagamentoRuralNão se aplicaNão se aplicaNão se aplicaFora ponta",Mercado_Receita!$L$2:$L$174)+SUMIF(Mercado_Receita!$S$2:$S$174,"44774B2Convencional pré-pagamentoRuralNão se aplicaNão se aplicaNão se aplicaIntermediário",Mercado_Receita!$L$2:$L$174)+SUMIF(Mercado_Receita!$S$2:$S$174,"44774B2Convencional pré-pagamentoRuralNão se aplicaNão se aplicaNão se aplicaNão se aplica",Mercado_Receita!$L$2:$L$174)</f>
        <v>0</v>
      </c>
      <c r="S39" s="13">
        <f>SUMIF(Mercado_Receita!$S$2:$S$174,"44805B2Convencional pré-pagamentoRuralNão se aplicaNão se aplicaNão se aplicaPonta",Mercado_Receita!$L$2:$L$174)+SUMIF(Mercado_Receita!$S$2:$S$174,"44805B2Convencional pré-pagamentoRuralNão se aplicaNão se aplicaNão se aplicaFora ponta",Mercado_Receita!$L$2:$L$174)+SUMIF(Mercado_Receita!$S$2:$S$174,"44805B2Convencional pré-pagamentoRuralNão se aplicaNão se aplicaNão se aplicaIntermediário",Mercado_Receita!$L$2:$L$174)+SUMIF(Mercado_Receita!$S$2:$S$174,"44805B2Convencional pré-pagamentoRuralNão se aplicaNão se aplicaNão se aplicaNão se aplica",Mercado_Receita!$L$2:$L$174)</f>
        <v>0</v>
      </c>
      <c r="T39" s="13">
        <f>SUMIF(Mercado_Receita!$S$2:$S$174,"44835B2Convencional pré-pagamentoRuralNão se aplicaNão se aplicaNão se aplicaPonta",Mercado_Receita!$L$2:$L$174)+SUMIF(Mercado_Receita!$S$2:$S$174,"44835B2Convencional pré-pagamentoRuralNão se aplicaNão se aplicaNão se aplicaFora ponta",Mercado_Receita!$L$2:$L$174)+SUMIF(Mercado_Receita!$S$2:$S$174,"44835B2Convencional pré-pagamentoRuralNão se aplicaNão se aplicaNão se aplicaIntermediário",Mercado_Receita!$L$2:$L$174)+SUMIF(Mercado_Receita!$S$2:$S$174,"44835B2Convencional pré-pagamentoRuralNão se aplicaNão se aplicaNão se aplicaNão se aplica",Mercado_Receita!$L$2:$L$174)</f>
        <v>0</v>
      </c>
      <c r="U39" s="13">
        <f t="shared" si="0"/>
        <v>0</v>
      </c>
      <c r="V39" s="13"/>
      <c r="W39" s="13"/>
    </row>
    <row r="40" spans="1:23" ht="11.25" customHeight="1" x14ac:dyDescent="0.25">
      <c r="A40" s="89"/>
      <c r="B40" s="89"/>
      <c r="C40" s="89"/>
      <c r="D40" s="12" t="s">
        <v>79</v>
      </c>
      <c r="E40" s="12" t="s">
        <v>25</v>
      </c>
      <c r="F40" s="12" t="s">
        <v>25</v>
      </c>
      <c r="G40" s="13" t="s">
        <v>67</v>
      </c>
      <c r="H40" s="13" t="s">
        <v>60</v>
      </c>
      <c r="I40" s="13">
        <f>SUMIF(Mercado_Receita!$S$2:$S$174,"44501B2Convencional pré-pagamentoRuralCooperativa de eletrificação ruralNão se aplicaNão se aplicaPonta",Mercado_Receita!$L$2:$L$174)+SUMIF(Mercado_Receita!$S$2:$S$174,"44501B2Convencional pré-pagamentoRuralCooperativa de eletrificação ruralNão se aplicaNão se aplicaFora ponta",Mercado_Receita!$L$2:$L$174)+SUMIF(Mercado_Receita!$S$2:$S$174,"44501B2Convencional pré-pagamentoRuralCooperativa de eletrificação ruralNão se aplicaNão se aplicaIntermediário",Mercado_Receita!$L$2:$L$174)+SUMIF(Mercado_Receita!$S$2:$S$174,"44501B2Convencional pré-pagamentoRuralCooperativa de eletrificação ruralNão se aplicaNão se aplicaNão se aplica",Mercado_Receita!$L$2:$L$174)</f>
        <v>0</v>
      </c>
      <c r="J40" s="13">
        <f>SUMIF(Mercado_Receita!$S$2:$S$174,"44531B2Convencional pré-pagamentoRuralCooperativa de eletrificação ruralNão se aplicaNão se aplicaPonta",Mercado_Receita!$L$2:$L$174)+SUMIF(Mercado_Receita!$S$2:$S$174,"44531B2Convencional pré-pagamentoRuralCooperativa de eletrificação ruralNão se aplicaNão se aplicaFora ponta",Mercado_Receita!$L$2:$L$174)+SUMIF(Mercado_Receita!$S$2:$S$174,"44531B2Convencional pré-pagamentoRuralCooperativa de eletrificação ruralNão se aplicaNão se aplicaIntermediário",Mercado_Receita!$L$2:$L$174)+SUMIF(Mercado_Receita!$S$2:$S$174,"44531B2Convencional pré-pagamentoRuralCooperativa de eletrificação ruralNão se aplicaNão se aplicaNão se aplica",Mercado_Receita!$L$2:$L$174)</f>
        <v>0</v>
      </c>
      <c r="K40" s="13">
        <f>SUMIF(Mercado_Receita!$S$2:$S$174,"44562B2Convencional pré-pagamentoRuralCooperativa de eletrificação ruralNão se aplicaNão se aplicaPonta",Mercado_Receita!$L$2:$L$174)+SUMIF(Mercado_Receita!$S$2:$S$174,"44562B2Convencional pré-pagamentoRuralCooperativa de eletrificação ruralNão se aplicaNão se aplicaFora ponta",Mercado_Receita!$L$2:$L$174)+SUMIF(Mercado_Receita!$S$2:$S$174,"44562B2Convencional pré-pagamentoRuralCooperativa de eletrificação ruralNão se aplicaNão se aplicaIntermediário",Mercado_Receita!$L$2:$L$174)+SUMIF(Mercado_Receita!$S$2:$S$174,"44562B2Convencional pré-pagamentoRuralCooperativa de eletrificação ruralNão se aplicaNão se aplicaNão se aplica",Mercado_Receita!$L$2:$L$174)</f>
        <v>0</v>
      </c>
      <c r="L40" s="13">
        <f>SUMIF(Mercado_Receita!$S$2:$S$174,"44593B2Convencional pré-pagamentoRuralCooperativa de eletrificação ruralNão se aplicaNão se aplicaPonta",Mercado_Receita!$L$2:$L$174)+SUMIF(Mercado_Receita!$S$2:$S$174,"44593B2Convencional pré-pagamentoRuralCooperativa de eletrificação ruralNão se aplicaNão se aplicaFora ponta",Mercado_Receita!$L$2:$L$174)+SUMIF(Mercado_Receita!$S$2:$S$174,"44593B2Convencional pré-pagamentoRuralCooperativa de eletrificação ruralNão se aplicaNão se aplicaIntermediário",Mercado_Receita!$L$2:$L$174)+SUMIF(Mercado_Receita!$S$2:$S$174,"44593B2Convencional pré-pagamentoRuralCooperativa de eletrificação ruralNão se aplicaNão se aplicaNão se aplica",Mercado_Receita!$L$2:$L$174)</f>
        <v>0</v>
      </c>
      <c r="M40" s="13">
        <f>SUMIF(Mercado_Receita!$S$2:$S$174,"44621B2Convencional pré-pagamentoRuralCooperativa de eletrificação ruralNão se aplicaNão se aplicaPonta",Mercado_Receita!$L$2:$L$174)+SUMIF(Mercado_Receita!$S$2:$S$174,"44621B2Convencional pré-pagamentoRuralCooperativa de eletrificação ruralNão se aplicaNão se aplicaFora ponta",Mercado_Receita!$L$2:$L$174)+SUMIF(Mercado_Receita!$S$2:$S$174,"44621B2Convencional pré-pagamentoRuralCooperativa de eletrificação ruralNão se aplicaNão se aplicaIntermediário",Mercado_Receita!$L$2:$L$174)+SUMIF(Mercado_Receita!$S$2:$S$174,"44621B2Convencional pré-pagamentoRuralCooperativa de eletrificação ruralNão se aplicaNão se aplicaNão se aplica",Mercado_Receita!$L$2:$L$174)</f>
        <v>0</v>
      </c>
      <c r="N40" s="13">
        <f>SUMIF(Mercado_Receita!$S$2:$S$174,"44652B2Convencional pré-pagamentoRuralCooperativa de eletrificação ruralNão se aplicaNão se aplicaPonta",Mercado_Receita!$L$2:$L$174)+SUMIF(Mercado_Receita!$S$2:$S$174,"44652B2Convencional pré-pagamentoRuralCooperativa de eletrificação ruralNão se aplicaNão se aplicaFora ponta",Mercado_Receita!$L$2:$L$174)+SUMIF(Mercado_Receita!$S$2:$S$174,"44652B2Convencional pré-pagamentoRuralCooperativa de eletrificação ruralNão se aplicaNão se aplicaIntermediário",Mercado_Receita!$L$2:$L$174)+SUMIF(Mercado_Receita!$S$2:$S$174,"44652B2Convencional pré-pagamentoRuralCooperativa de eletrificação ruralNão se aplicaNão se aplicaNão se aplica",Mercado_Receita!$L$2:$L$174)</f>
        <v>0</v>
      </c>
      <c r="O40" s="13">
        <f>SUMIF(Mercado_Receita!$S$2:$S$174,"44682B2Convencional pré-pagamentoRuralCooperativa de eletrificação ruralNão se aplicaNão se aplicaPonta",Mercado_Receita!$L$2:$L$174)+SUMIF(Mercado_Receita!$S$2:$S$174,"44682B2Convencional pré-pagamentoRuralCooperativa de eletrificação ruralNão se aplicaNão se aplicaFora ponta",Mercado_Receita!$L$2:$L$174)+SUMIF(Mercado_Receita!$S$2:$S$174,"44682B2Convencional pré-pagamentoRuralCooperativa de eletrificação ruralNão se aplicaNão se aplicaIntermediário",Mercado_Receita!$L$2:$L$174)+SUMIF(Mercado_Receita!$S$2:$S$174,"44682B2Convencional pré-pagamentoRuralCooperativa de eletrificação ruralNão se aplicaNão se aplicaNão se aplica",Mercado_Receita!$L$2:$L$174)</f>
        <v>0</v>
      </c>
      <c r="P40" s="13">
        <f>SUMIF(Mercado_Receita!$S$2:$S$174,"44713B2Convencional pré-pagamentoRuralCooperativa de eletrificação ruralNão se aplicaNão se aplicaPonta",Mercado_Receita!$L$2:$L$174)+SUMIF(Mercado_Receita!$S$2:$S$174,"44713B2Convencional pré-pagamentoRuralCooperativa de eletrificação ruralNão se aplicaNão se aplicaFora ponta",Mercado_Receita!$L$2:$L$174)+SUMIF(Mercado_Receita!$S$2:$S$174,"44713B2Convencional pré-pagamentoRuralCooperativa de eletrificação ruralNão se aplicaNão se aplicaIntermediário",Mercado_Receita!$L$2:$L$174)+SUMIF(Mercado_Receita!$S$2:$S$174,"44713B2Convencional pré-pagamentoRuralCooperativa de eletrificação ruralNão se aplicaNão se aplicaNão se aplica",Mercado_Receita!$L$2:$L$174)</f>
        <v>0</v>
      </c>
      <c r="Q40" s="13">
        <f>SUMIF(Mercado_Receita!$S$2:$S$174,"44743B2Convencional pré-pagamentoRuralCooperativa de eletrificação ruralNão se aplicaNão se aplicaPonta",Mercado_Receita!$L$2:$L$174)+SUMIF(Mercado_Receita!$S$2:$S$174,"44743B2Convencional pré-pagamentoRuralCooperativa de eletrificação ruralNão se aplicaNão se aplicaFora ponta",Mercado_Receita!$L$2:$L$174)+SUMIF(Mercado_Receita!$S$2:$S$174,"44743B2Convencional pré-pagamentoRuralCooperativa de eletrificação ruralNão se aplicaNão se aplicaIntermediário",Mercado_Receita!$L$2:$L$174)+SUMIF(Mercado_Receita!$S$2:$S$174,"44743B2Convencional pré-pagamentoRuralCooperativa de eletrificação ruralNão se aplicaNão se aplicaNão se aplica",Mercado_Receita!$L$2:$L$174)</f>
        <v>0</v>
      </c>
      <c r="R40" s="13">
        <f>SUMIF(Mercado_Receita!$S$2:$S$174,"44774B2Convencional pré-pagamentoRuralCooperativa de eletrificação ruralNão se aplicaNão se aplicaPonta",Mercado_Receita!$L$2:$L$174)+SUMIF(Mercado_Receita!$S$2:$S$174,"44774B2Convencional pré-pagamentoRuralCooperativa de eletrificação ruralNão se aplicaNão se aplicaFora ponta",Mercado_Receita!$L$2:$L$174)+SUMIF(Mercado_Receita!$S$2:$S$174,"44774B2Convencional pré-pagamentoRuralCooperativa de eletrificação ruralNão se aplicaNão se aplicaIntermediário",Mercado_Receita!$L$2:$L$174)+SUMIF(Mercado_Receita!$S$2:$S$174,"44774B2Convencional pré-pagamentoRuralCooperativa de eletrificação ruralNão se aplicaNão se aplicaNão se aplica",Mercado_Receita!$L$2:$L$174)</f>
        <v>0</v>
      </c>
      <c r="S40" s="13">
        <f>SUMIF(Mercado_Receita!$S$2:$S$174,"44805B2Convencional pré-pagamentoRuralCooperativa de eletrificação ruralNão se aplicaNão se aplicaPonta",Mercado_Receita!$L$2:$L$174)+SUMIF(Mercado_Receita!$S$2:$S$174,"44805B2Convencional pré-pagamentoRuralCooperativa de eletrificação ruralNão se aplicaNão se aplicaFora ponta",Mercado_Receita!$L$2:$L$174)+SUMIF(Mercado_Receita!$S$2:$S$174,"44805B2Convencional pré-pagamentoRuralCooperativa de eletrificação ruralNão se aplicaNão se aplicaIntermediário",Mercado_Receita!$L$2:$L$174)+SUMIF(Mercado_Receita!$S$2:$S$174,"44805B2Convencional pré-pagamentoRuralCooperativa de eletrificação ruralNão se aplicaNão se aplicaNão se aplica",Mercado_Receita!$L$2:$L$174)</f>
        <v>0</v>
      </c>
      <c r="T40" s="13">
        <f>SUMIF(Mercado_Receita!$S$2:$S$174,"44835B2Convencional pré-pagamentoRuralCooperativa de eletrificação ruralNão se aplicaNão se aplicaPonta",Mercado_Receita!$L$2:$L$174)+SUMIF(Mercado_Receita!$S$2:$S$174,"44835B2Convencional pré-pagamentoRuralCooperativa de eletrificação ruralNão se aplicaNão se aplicaFora ponta",Mercado_Receita!$L$2:$L$174)+SUMIF(Mercado_Receita!$S$2:$S$174,"44835B2Convencional pré-pagamentoRuralCooperativa de eletrificação ruralNão se aplicaNão se aplicaIntermediário",Mercado_Receita!$L$2:$L$174)+SUMIF(Mercado_Receita!$S$2:$S$174,"44835B2Convencional pré-pagamentoRuralCooperativa de eletrificação ruralNão se aplicaNão se aplicaNão se aplica",Mercado_Receita!$L$2:$L$174)</f>
        <v>0</v>
      </c>
      <c r="U40" s="13">
        <f t="shared" si="0"/>
        <v>0</v>
      </c>
      <c r="V40" s="13"/>
      <c r="W40" s="13"/>
    </row>
    <row r="41" spans="1:23" ht="11.25" customHeight="1" x14ac:dyDescent="0.25">
      <c r="A41" s="89"/>
      <c r="B41" s="89"/>
      <c r="C41" s="89"/>
      <c r="D41" s="12" t="s">
        <v>80</v>
      </c>
      <c r="E41" s="12" t="s">
        <v>25</v>
      </c>
      <c r="F41" s="12" t="s">
        <v>25</v>
      </c>
      <c r="G41" s="13" t="s">
        <v>67</v>
      </c>
      <c r="H41" s="13" t="s">
        <v>60</v>
      </c>
      <c r="I41" s="13">
        <f>SUMIF(Mercado_Receita!$S$2:$S$174,"44501B2Convencional pré-pagamentoRuralServiço público de irrigação ruralNão se aplicaNão se aplicaPonta",Mercado_Receita!$L$2:$L$174)+SUMIF(Mercado_Receita!$S$2:$S$174,"44501B2Convencional pré-pagamentoRuralServiço público de irrigação ruralNão se aplicaNão se aplicaFora ponta",Mercado_Receita!$L$2:$L$174)+SUMIF(Mercado_Receita!$S$2:$S$174,"44501B2Convencional pré-pagamentoRuralServiço público de irrigação ruralNão se aplicaNão se aplicaIntermediário",Mercado_Receita!$L$2:$L$174)+SUMIF(Mercado_Receita!$S$2:$S$174,"44501B2Convencional pré-pagamentoRuralServiço público de irrigação ruralNão se aplicaNão se aplicaNão se aplica",Mercado_Receita!$L$2:$L$174)</f>
        <v>0</v>
      </c>
      <c r="J41" s="13">
        <f>SUMIF(Mercado_Receita!$S$2:$S$174,"44531B2Convencional pré-pagamentoRuralServiço público de irrigação ruralNão se aplicaNão se aplicaPonta",Mercado_Receita!$L$2:$L$174)+SUMIF(Mercado_Receita!$S$2:$S$174,"44531B2Convencional pré-pagamentoRuralServiço público de irrigação ruralNão se aplicaNão se aplicaFora ponta",Mercado_Receita!$L$2:$L$174)+SUMIF(Mercado_Receita!$S$2:$S$174,"44531B2Convencional pré-pagamentoRuralServiço público de irrigação ruralNão se aplicaNão se aplicaIntermediário",Mercado_Receita!$L$2:$L$174)+SUMIF(Mercado_Receita!$S$2:$S$174,"44531B2Convencional pré-pagamentoRuralServiço público de irrigação ruralNão se aplicaNão se aplicaNão se aplica",Mercado_Receita!$L$2:$L$174)</f>
        <v>0</v>
      </c>
      <c r="K41" s="13">
        <f>SUMIF(Mercado_Receita!$S$2:$S$174,"44562B2Convencional pré-pagamentoRuralServiço público de irrigação ruralNão se aplicaNão se aplicaPonta",Mercado_Receita!$L$2:$L$174)+SUMIF(Mercado_Receita!$S$2:$S$174,"44562B2Convencional pré-pagamentoRuralServiço público de irrigação ruralNão se aplicaNão se aplicaFora ponta",Mercado_Receita!$L$2:$L$174)+SUMIF(Mercado_Receita!$S$2:$S$174,"44562B2Convencional pré-pagamentoRuralServiço público de irrigação ruralNão se aplicaNão se aplicaIntermediário",Mercado_Receita!$L$2:$L$174)+SUMIF(Mercado_Receita!$S$2:$S$174,"44562B2Convencional pré-pagamentoRuralServiço público de irrigação ruralNão se aplicaNão se aplicaNão se aplica",Mercado_Receita!$L$2:$L$174)</f>
        <v>0</v>
      </c>
      <c r="L41" s="13">
        <f>SUMIF(Mercado_Receita!$S$2:$S$174,"44593B2Convencional pré-pagamentoRuralServiço público de irrigação ruralNão se aplicaNão se aplicaPonta",Mercado_Receita!$L$2:$L$174)+SUMIF(Mercado_Receita!$S$2:$S$174,"44593B2Convencional pré-pagamentoRuralServiço público de irrigação ruralNão se aplicaNão se aplicaFora ponta",Mercado_Receita!$L$2:$L$174)+SUMIF(Mercado_Receita!$S$2:$S$174,"44593B2Convencional pré-pagamentoRuralServiço público de irrigação ruralNão se aplicaNão se aplicaIntermediário",Mercado_Receita!$L$2:$L$174)+SUMIF(Mercado_Receita!$S$2:$S$174,"44593B2Convencional pré-pagamentoRuralServiço público de irrigação ruralNão se aplicaNão se aplicaNão se aplica",Mercado_Receita!$L$2:$L$174)</f>
        <v>0</v>
      </c>
      <c r="M41" s="13">
        <f>SUMIF(Mercado_Receita!$S$2:$S$174,"44621B2Convencional pré-pagamentoRuralServiço público de irrigação ruralNão se aplicaNão se aplicaPonta",Mercado_Receita!$L$2:$L$174)+SUMIF(Mercado_Receita!$S$2:$S$174,"44621B2Convencional pré-pagamentoRuralServiço público de irrigação ruralNão se aplicaNão se aplicaFora ponta",Mercado_Receita!$L$2:$L$174)+SUMIF(Mercado_Receita!$S$2:$S$174,"44621B2Convencional pré-pagamentoRuralServiço público de irrigação ruralNão se aplicaNão se aplicaIntermediário",Mercado_Receita!$L$2:$L$174)+SUMIF(Mercado_Receita!$S$2:$S$174,"44621B2Convencional pré-pagamentoRuralServiço público de irrigação ruralNão se aplicaNão se aplicaNão se aplica",Mercado_Receita!$L$2:$L$174)</f>
        <v>0</v>
      </c>
      <c r="N41" s="13">
        <f>SUMIF(Mercado_Receita!$S$2:$S$174,"44652B2Convencional pré-pagamentoRuralServiço público de irrigação ruralNão se aplicaNão se aplicaPonta",Mercado_Receita!$L$2:$L$174)+SUMIF(Mercado_Receita!$S$2:$S$174,"44652B2Convencional pré-pagamentoRuralServiço público de irrigação ruralNão se aplicaNão se aplicaFora ponta",Mercado_Receita!$L$2:$L$174)+SUMIF(Mercado_Receita!$S$2:$S$174,"44652B2Convencional pré-pagamentoRuralServiço público de irrigação ruralNão se aplicaNão se aplicaIntermediário",Mercado_Receita!$L$2:$L$174)+SUMIF(Mercado_Receita!$S$2:$S$174,"44652B2Convencional pré-pagamentoRuralServiço público de irrigação ruralNão se aplicaNão se aplicaNão se aplica",Mercado_Receita!$L$2:$L$174)</f>
        <v>0</v>
      </c>
      <c r="O41" s="13">
        <f>SUMIF(Mercado_Receita!$S$2:$S$174,"44682B2Convencional pré-pagamentoRuralServiço público de irrigação ruralNão se aplicaNão se aplicaPonta",Mercado_Receita!$L$2:$L$174)+SUMIF(Mercado_Receita!$S$2:$S$174,"44682B2Convencional pré-pagamentoRuralServiço público de irrigação ruralNão se aplicaNão se aplicaFora ponta",Mercado_Receita!$L$2:$L$174)+SUMIF(Mercado_Receita!$S$2:$S$174,"44682B2Convencional pré-pagamentoRuralServiço público de irrigação ruralNão se aplicaNão se aplicaIntermediário",Mercado_Receita!$L$2:$L$174)+SUMIF(Mercado_Receita!$S$2:$S$174,"44682B2Convencional pré-pagamentoRuralServiço público de irrigação ruralNão se aplicaNão se aplicaNão se aplica",Mercado_Receita!$L$2:$L$174)</f>
        <v>0</v>
      </c>
      <c r="P41" s="13">
        <f>SUMIF(Mercado_Receita!$S$2:$S$174,"44713B2Convencional pré-pagamentoRuralServiço público de irrigação ruralNão se aplicaNão se aplicaPonta",Mercado_Receita!$L$2:$L$174)+SUMIF(Mercado_Receita!$S$2:$S$174,"44713B2Convencional pré-pagamentoRuralServiço público de irrigação ruralNão se aplicaNão se aplicaFora ponta",Mercado_Receita!$L$2:$L$174)+SUMIF(Mercado_Receita!$S$2:$S$174,"44713B2Convencional pré-pagamentoRuralServiço público de irrigação ruralNão se aplicaNão se aplicaIntermediário",Mercado_Receita!$L$2:$L$174)+SUMIF(Mercado_Receita!$S$2:$S$174,"44713B2Convencional pré-pagamentoRuralServiço público de irrigação ruralNão se aplicaNão se aplicaNão se aplica",Mercado_Receita!$L$2:$L$174)</f>
        <v>0</v>
      </c>
      <c r="Q41" s="13">
        <f>SUMIF(Mercado_Receita!$S$2:$S$174,"44743B2Convencional pré-pagamentoRuralServiço público de irrigação ruralNão se aplicaNão se aplicaPonta",Mercado_Receita!$L$2:$L$174)+SUMIF(Mercado_Receita!$S$2:$S$174,"44743B2Convencional pré-pagamentoRuralServiço público de irrigação ruralNão se aplicaNão se aplicaFora ponta",Mercado_Receita!$L$2:$L$174)+SUMIF(Mercado_Receita!$S$2:$S$174,"44743B2Convencional pré-pagamentoRuralServiço público de irrigação ruralNão se aplicaNão se aplicaIntermediário",Mercado_Receita!$L$2:$L$174)+SUMIF(Mercado_Receita!$S$2:$S$174,"44743B2Convencional pré-pagamentoRuralServiço público de irrigação ruralNão se aplicaNão se aplicaNão se aplica",Mercado_Receita!$L$2:$L$174)</f>
        <v>0</v>
      </c>
      <c r="R41" s="13">
        <f>SUMIF(Mercado_Receita!$S$2:$S$174,"44774B2Convencional pré-pagamentoRuralServiço público de irrigação ruralNão se aplicaNão se aplicaPonta",Mercado_Receita!$L$2:$L$174)+SUMIF(Mercado_Receita!$S$2:$S$174,"44774B2Convencional pré-pagamentoRuralServiço público de irrigação ruralNão se aplicaNão se aplicaFora ponta",Mercado_Receita!$L$2:$L$174)+SUMIF(Mercado_Receita!$S$2:$S$174,"44774B2Convencional pré-pagamentoRuralServiço público de irrigação ruralNão se aplicaNão se aplicaIntermediário",Mercado_Receita!$L$2:$L$174)+SUMIF(Mercado_Receita!$S$2:$S$174,"44774B2Convencional pré-pagamentoRuralServiço público de irrigação ruralNão se aplicaNão se aplicaNão se aplica",Mercado_Receita!$L$2:$L$174)</f>
        <v>0</v>
      </c>
      <c r="S41" s="13">
        <f>SUMIF(Mercado_Receita!$S$2:$S$174,"44805B2Convencional pré-pagamentoRuralServiço público de irrigação ruralNão se aplicaNão se aplicaPonta",Mercado_Receita!$L$2:$L$174)+SUMIF(Mercado_Receita!$S$2:$S$174,"44805B2Convencional pré-pagamentoRuralServiço público de irrigação ruralNão se aplicaNão se aplicaFora ponta",Mercado_Receita!$L$2:$L$174)+SUMIF(Mercado_Receita!$S$2:$S$174,"44805B2Convencional pré-pagamentoRuralServiço público de irrigação ruralNão se aplicaNão se aplicaIntermediário",Mercado_Receita!$L$2:$L$174)+SUMIF(Mercado_Receita!$S$2:$S$174,"44805B2Convencional pré-pagamentoRuralServiço público de irrigação ruralNão se aplicaNão se aplicaNão se aplica",Mercado_Receita!$L$2:$L$174)</f>
        <v>0</v>
      </c>
      <c r="T41" s="13">
        <f>SUMIF(Mercado_Receita!$S$2:$S$174,"44835B2Convencional pré-pagamentoRuralServiço público de irrigação ruralNão se aplicaNão se aplicaPonta",Mercado_Receita!$L$2:$L$174)+SUMIF(Mercado_Receita!$S$2:$S$174,"44835B2Convencional pré-pagamentoRuralServiço público de irrigação ruralNão se aplicaNão se aplicaFora ponta",Mercado_Receita!$L$2:$L$174)+SUMIF(Mercado_Receita!$S$2:$S$174,"44835B2Convencional pré-pagamentoRuralServiço público de irrigação ruralNão se aplicaNão se aplicaIntermediário",Mercado_Receita!$L$2:$L$174)+SUMIF(Mercado_Receita!$S$2:$S$174,"44835B2Convencional pré-pagamentoRuralServiço público de irrigação ruralNão se aplicaNão se aplicaNão se aplica",Mercado_Receita!$L$2:$L$174)</f>
        <v>0</v>
      </c>
      <c r="U41" s="13">
        <f t="shared" si="0"/>
        <v>0</v>
      </c>
      <c r="V41" s="13"/>
      <c r="W41" s="13"/>
    </row>
    <row r="42" spans="1:23" ht="11.25" customHeight="1" x14ac:dyDescent="0.25">
      <c r="A42" s="88" t="s">
        <v>28</v>
      </c>
      <c r="B42" s="88" t="s">
        <v>76</v>
      </c>
      <c r="C42" s="88" t="s">
        <v>25</v>
      </c>
      <c r="D42" s="88" t="s">
        <v>25</v>
      </c>
      <c r="E42" s="88" t="s">
        <v>25</v>
      </c>
      <c r="F42" s="88" t="s">
        <v>25</v>
      </c>
      <c r="G42" s="13" t="s">
        <v>61</v>
      </c>
      <c r="H42" s="13" t="s">
        <v>60</v>
      </c>
      <c r="I42" s="13">
        <f>SUMIF(Mercado_Receita!$S$2:$S$174,"44501B3BrancaNão se aplicaNão se aplicaNão se aplicaNão se aplicaPonta",Mercado_Receita!$L$2:$L$174)</f>
        <v>0</v>
      </c>
      <c r="J42" s="13">
        <f>SUMIF(Mercado_Receita!$S$2:$S$174,"44531B3BrancaNão se aplicaNão se aplicaNão se aplicaNão se aplicaPonta",Mercado_Receita!$L$2:$L$174)</f>
        <v>0</v>
      </c>
      <c r="K42" s="13">
        <f>SUMIF(Mercado_Receita!$S$2:$S$174,"44562B3BrancaNão se aplicaNão se aplicaNão se aplicaNão se aplicaPonta",Mercado_Receita!$L$2:$L$174)</f>
        <v>0</v>
      </c>
      <c r="L42" s="13">
        <f>SUMIF(Mercado_Receita!$S$2:$S$174,"44593B3BrancaNão se aplicaNão se aplicaNão se aplicaNão se aplicaPonta",Mercado_Receita!$L$2:$L$174)</f>
        <v>0</v>
      </c>
      <c r="M42" s="13">
        <f>SUMIF(Mercado_Receita!$S$2:$S$174,"44621B3BrancaNão se aplicaNão se aplicaNão se aplicaNão se aplicaPonta",Mercado_Receita!$L$2:$L$174)</f>
        <v>0</v>
      </c>
      <c r="N42" s="13">
        <f>SUMIF(Mercado_Receita!$S$2:$S$174,"44652B3BrancaNão se aplicaNão se aplicaNão se aplicaNão se aplicaPonta",Mercado_Receita!$L$2:$L$174)</f>
        <v>0</v>
      </c>
      <c r="O42" s="13">
        <f>SUMIF(Mercado_Receita!$S$2:$S$174,"44682B3BrancaNão se aplicaNão se aplicaNão se aplicaNão se aplicaPonta",Mercado_Receita!$L$2:$L$174)</f>
        <v>0</v>
      </c>
      <c r="P42" s="13">
        <f>SUMIF(Mercado_Receita!$S$2:$S$174,"44713B3BrancaNão se aplicaNão se aplicaNão se aplicaNão se aplicaPonta",Mercado_Receita!$L$2:$L$174)</f>
        <v>0</v>
      </c>
      <c r="Q42" s="13">
        <f>SUMIF(Mercado_Receita!$S$2:$S$174,"44743B3BrancaNão se aplicaNão se aplicaNão se aplicaNão se aplicaPonta",Mercado_Receita!$L$2:$L$174)</f>
        <v>0</v>
      </c>
      <c r="R42" s="13">
        <f>SUMIF(Mercado_Receita!$S$2:$S$174,"44774B3BrancaNão se aplicaNão se aplicaNão se aplicaNão se aplicaPonta",Mercado_Receita!$L$2:$L$174)</f>
        <v>0</v>
      </c>
      <c r="S42" s="13">
        <f>SUMIF(Mercado_Receita!$S$2:$S$174,"44805B3BrancaNão se aplicaNão se aplicaNão se aplicaNão se aplicaPonta",Mercado_Receita!$L$2:$L$174)</f>
        <v>0</v>
      </c>
      <c r="T42" s="13">
        <f>SUMIF(Mercado_Receita!$S$2:$S$174,"44835B3BrancaNão se aplicaNão se aplicaNão se aplicaNão se aplicaPonta",Mercado_Receita!$L$2:$L$174)</f>
        <v>0</v>
      </c>
      <c r="U42" s="13">
        <f t="shared" si="0"/>
        <v>0</v>
      </c>
      <c r="V42" s="13"/>
      <c r="W42" s="13"/>
    </row>
    <row r="43" spans="1:23" ht="11.25" customHeight="1" x14ac:dyDescent="0.25">
      <c r="A43" s="89"/>
      <c r="B43" s="89"/>
      <c r="C43" s="89"/>
      <c r="D43" s="89"/>
      <c r="E43" s="89"/>
      <c r="F43" s="89"/>
      <c r="G43" s="13" t="s">
        <v>74</v>
      </c>
      <c r="H43" s="13" t="s">
        <v>60</v>
      </c>
      <c r="I43" s="13">
        <f>SUMIF(Mercado_Receita!$S$2:$S$174,"44501B3BrancaNão se aplicaNão se aplicaNão se aplicaNão se aplicaIntermediário",Mercado_Receita!$L$2:$L$174)</f>
        <v>0</v>
      </c>
      <c r="J43" s="13">
        <f>SUMIF(Mercado_Receita!$S$2:$S$174,"44531B3BrancaNão se aplicaNão se aplicaNão se aplicaNão se aplicaIntermediário",Mercado_Receita!$L$2:$L$174)</f>
        <v>0</v>
      </c>
      <c r="K43" s="13">
        <f>SUMIF(Mercado_Receita!$S$2:$S$174,"44562B3BrancaNão se aplicaNão se aplicaNão se aplicaNão se aplicaIntermediário",Mercado_Receita!$L$2:$L$174)</f>
        <v>0</v>
      </c>
      <c r="L43" s="13">
        <f>SUMIF(Mercado_Receita!$S$2:$S$174,"44593B3BrancaNão se aplicaNão se aplicaNão se aplicaNão se aplicaIntermediário",Mercado_Receita!$L$2:$L$174)</f>
        <v>0</v>
      </c>
      <c r="M43" s="13">
        <f>SUMIF(Mercado_Receita!$S$2:$S$174,"44621B3BrancaNão se aplicaNão se aplicaNão se aplicaNão se aplicaIntermediário",Mercado_Receita!$L$2:$L$174)</f>
        <v>0</v>
      </c>
      <c r="N43" s="13">
        <f>SUMIF(Mercado_Receita!$S$2:$S$174,"44652B3BrancaNão se aplicaNão se aplicaNão se aplicaNão se aplicaIntermediário",Mercado_Receita!$L$2:$L$174)</f>
        <v>0</v>
      </c>
      <c r="O43" s="13">
        <f>SUMIF(Mercado_Receita!$S$2:$S$174,"44682B3BrancaNão se aplicaNão se aplicaNão se aplicaNão se aplicaIntermediário",Mercado_Receita!$L$2:$L$174)</f>
        <v>0</v>
      </c>
      <c r="P43" s="13">
        <f>SUMIF(Mercado_Receita!$S$2:$S$174,"44713B3BrancaNão se aplicaNão se aplicaNão se aplicaNão se aplicaIntermediário",Mercado_Receita!$L$2:$L$174)</f>
        <v>0</v>
      </c>
      <c r="Q43" s="13">
        <f>SUMIF(Mercado_Receita!$S$2:$S$174,"44743B3BrancaNão se aplicaNão se aplicaNão se aplicaNão se aplicaIntermediário",Mercado_Receita!$L$2:$L$174)</f>
        <v>0</v>
      </c>
      <c r="R43" s="13">
        <f>SUMIF(Mercado_Receita!$S$2:$S$174,"44774B3BrancaNão se aplicaNão se aplicaNão se aplicaNão se aplicaIntermediário",Mercado_Receita!$L$2:$L$174)</f>
        <v>0</v>
      </c>
      <c r="S43" s="13">
        <f>SUMIF(Mercado_Receita!$S$2:$S$174,"44805B3BrancaNão se aplicaNão se aplicaNão se aplicaNão se aplicaIntermediário",Mercado_Receita!$L$2:$L$174)</f>
        <v>0</v>
      </c>
      <c r="T43" s="13">
        <f>SUMIF(Mercado_Receita!$S$2:$S$174,"44835B3BrancaNão se aplicaNão se aplicaNão se aplicaNão se aplicaIntermediário",Mercado_Receita!$L$2:$L$174)</f>
        <v>0</v>
      </c>
      <c r="U43" s="13">
        <f t="shared" si="0"/>
        <v>0</v>
      </c>
      <c r="V43" s="13"/>
      <c r="W43" s="13"/>
    </row>
    <row r="44" spans="1:23" ht="11.25" customHeight="1" x14ac:dyDescent="0.25">
      <c r="A44" s="89"/>
      <c r="B44" s="89"/>
      <c r="C44" s="89"/>
      <c r="D44" s="89"/>
      <c r="E44" s="89"/>
      <c r="F44" s="89"/>
      <c r="G44" s="13" t="s">
        <v>62</v>
      </c>
      <c r="H44" s="13" t="s">
        <v>60</v>
      </c>
      <c r="I44" s="13">
        <f>SUMIF(Mercado_Receita!$S$2:$S$174,"44501B3BrancaNão se aplicaNão se aplicaNão se aplicaNão se aplicaFora ponta",Mercado_Receita!$L$2:$L$174)</f>
        <v>0</v>
      </c>
      <c r="J44" s="13">
        <f>SUMIF(Mercado_Receita!$S$2:$S$174,"44531B3BrancaNão se aplicaNão se aplicaNão se aplicaNão se aplicaFora ponta",Mercado_Receita!$L$2:$L$174)</f>
        <v>0</v>
      </c>
      <c r="K44" s="13">
        <f>SUMIF(Mercado_Receita!$S$2:$S$174,"44562B3BrancaNão se aplicaNão se aplicaNão se aplicaNão se aplicaFora ponta",Mercado_Receita!$L$2:$L$174)</f>
        <v>0</v>
      </c>
      <c r="L44" s="13">
        <f>SUMIF(Mercado_Receita!$S$2:$S$174,"44593B3BrancaNão se aplicaNão se aplicaNão se aplicaNão se aplicaFora ponta",Mercado_Receita!$L$2:$L$174)</f>
        <v>0</v>
      </c>
      <c r="M44" s="13">
        <f>SUMIF(Mercado_Receita!$S$2:$S$174,"44621B3BrancaNão se aplicaNão se aplicaNão se aplicaNão se aplicaFora ponta",Mercado_Receita!$L$2:$L$174)</f>
        <v>0</v>
      </c>
      <c r="N44" s="13">
        <f>SUMIF(Mercado_Receita!$S$2:$S$174,"44652B3BrancaNão se aplicaNão se aplicaNão se aplicaNão se aplicaFora ponta",Mercado_Receita!$L$2:$L$174)</f>
        <v>0</v>
      </c>
      <c r="O44" s="13">
        <f>SUMIF(Mercado_Receita!$S$2:$S$174,"44682B3BrancaNão se aplicaNão se aplicaNão se aplicaNão se aplicaFora ponta",Mercado_Receita!$L$2:$L$174)</f>
        <v>0</v>
      </c>
      <c r="P44" s="13">
        <f>SUMIF(Mercado_Receita!$S$2:$S$174,"44713B3BrancaNão se aplicaNão se aplicaNão se aplicaNão se aplicaFora ponta",Mercado_Receita!$L$2:$L$174)</f>
        <v>0</v>
      </c>
      <c r="Q44" s="13">
        <f>SUMIF(Mercado_Receita!$S$2:$S$174,"44743B3BrancaNão se aplicaNão se aplicaNão se aplicaNão se aplicaFora ponta",Mercado_Receita!$L$2:$L$174)</f>
        <v>0</v>
      </c>
      <c r="R44" s="13">
        <f>SUMIF(Mercado_Receita!$S$2:$S$174,"44774B3BrancaNão se aplicaNão se aplicaNão se aplicaNão se aplicaFora ponta",Mercado_Receita!$L$2:$L$174)</f>
        <v>0</v>
      </c>
      <c r="S44" s="13">
        <f>SUMIF(Mercado_Receita!$S$2:$S$174,"44805B3BrancaNão se aplicaNão se aplicaNão se aplicaNão se aplicaFora ponta",Mercado_Receita!$L$2:$L$174)</f>
        <v>0</v>
      </c>
      <c r="T44" s="13">
        <f>SUMIF(Mercado_Receita!$S$2:$S$174,"44835B3BrancaNão se aplicaNão se aplicaNão se aplicaNão se aplicaFora ponta",Mercado_Receita!$L$2:$L$174)</f>
        <v>0</v>
      </c>
      <c r="U44" s="13">
        <f t="shared" si="0"/>
        <v>0</v>
      </c>
      <c r="V44" s="13"/>
      <c r="W44" s="13"/>
    </row>
    <row r="45" spans="1:23" ht="11.25" customHeight="1" x14ac:dyDescent="0.25">
      <c r="A45" s="89"/>
      <c r="B45" s="12" t="s">
        <v>23</v>
      </c>
      <c r="C45" s="12" t="s">
        <v>25</v>
      </c>
      <c r="D45" s="12" t="s">
        <v>25</v>
      </c>
      <c r="E45" s="12" t="s">
        <v>25</v>
      </c>
      <c r="F45" s="12" t="s">
        <v>25</v>
      </c>
      <c r="G45" s="13" t="s">
        <v>67</v>
      </c>
      <c r="H45" s="13" t="s">
        <v>60</v>
      </c>
      <c r="I45" s="13">
        <f>SUMIF(Mercado_Receita!$S$2:$S$174,"44501B3ConvencionalNão se aplicaNão se aplicaNão se aplicaNão se aplicaPonta",Mercado_Receita!$L$2:$L$174)+SUMIF(Mercado_Receita!$S$2:$S$174,"44501B3ConvencionalNão se aplicaNão se aplicaNão se aplicaNão se aplicaFora ponta",Mercado_Receita!$L$2:$L$174)+SUMIF(Mercado_Receita!$S$2:$S$174,"44501B3ConvencionalNão se aplicaNão se aplicaNão se aplicaNão se aplicaIntermediário",Mercado_Receita!$L$2:$L$174)+SUMIF(Mercado_Receita!$S$2:$S$174,"44501B3ConvencionalNão se aplicaNão se aplicaNão se aplicaNão se aplicaNão se aplica",Mercado_Receita!$L$2:$L$174)</f>
        <v>264.89499999999998</v>
      </c>
      <c r="J45" s="13">
        <f>SUMIF(Mercado_Receita!$S$2:$S$174,"44531B3ConvencionalNão se aplicaNão se aplicaNão se aplicaNão se aplicaPonta",Mercado_Receita!$L$2:$L$174)+SUMIF(Mercado_Receita!$S$2:$S$174,"44531B3ConvencionalNão se aplicaNão se aplicaNão se aplicaNão se aplicaFora ponta",Mercado_Receita!$L$2:$L$174)+SUMIF(Mercado_Receita!$S$2:$S$174,"44531B3ConvencionalNão se aplicaNão se aplicaNão se aplicaNão se aplicaIntermediário",Mercado_Receita!$L$2:$L$174)+SUMIF(Mercado_Receita!$S$2:$S$174,"44531B3ConvencionalNão se aplicaNão se aplicaNão se aplicaNão se aplicaNão se aplica",Mercado_Receita!$L$2:$L$174)</f>
        <v>273.68399999999997</v>
      </c>
      <c r="K45" s="13">
        <f>SUMIF(Mercado_Receita!$S$2:$S$174,"44562B3ConvencionalNão se aplicaNão se aplicaNão se aplicaNão se aplicaPonta",Mercado_Receita!$L$2:$L$174)+SUMIF(Mercado_Receita!$S$2:$S$174,"44562B3ConvencionalNão se aplicaNão se aplicaNão se aplicaNão se aplicaFora ponta",Mercado_Receita!$L$2:$L$174)+SUMIF(Mercado_Receita!$S$2:$S$174,"44562B3ConvencionalNão se aplicaNão se aplicaNão se aplicaNão se aplicaIntermediário",Mercado_Receita!$L$2:$L$174)+SUMIF(Mercado_Receita!$S$2:$S$174,"44562B3ConvencionalNão se aplicaNão se aplicaNão se aplicaNão se aplicaNão se aplica",Mercado_Receita!$L$2:$L$174)</f>
        <v>252.53200000000001</v>
      </c>
      <c r="L45" s="13">
        <f>SUMIF(Mercado_Receita!$S$2:$S$174,"44593B3ConvencionalNão se aplicaNão se aplicaNão se aplicaNão se aplicaPonta",Mercado_Receita!$L$2:$L$174)+SUMIF(Mercado_Receita!$S$2:$S$174,"44593B3ConvencionalNão se aplicaNão se aplicaNão se aplicaNão se aplicaFora ponta",Mercado_Receita!$L$2:$L$174)+SUMIF(Mercado_Receita!$S$2:$S$174,"44593B3ConvencionalNão se aplicaNão se aplicaNão se aplicaNão se aplicaIntermediário",Mercado_Receita!$L$2:$L$174)+SUMIF(Mercado_Receita!$S$2:$S$174,"44593B3ConvencionalNão se aplicaNão se aplicaNão se aplicaNão se aplicaNão se aplica",Mercado_Receita!$L$2:$L$174)</f>
        <v>277.22000000000003</v>
      </c>
      <c r="M45" s="13">
        <f>SUMIF(Mercado_Receita!$S$2:$S$174,"44621B3ConvencionalNão se aplicaNão se aplicaNão se aplicaNão se aplicaPonta",Mercado_Receita!$L$2:$L$174)+SUMIF(Mercado_Receita!$S$2:$S$174,"44621B3ConvencionalNão se aplicaNão se aplicaNão se aplicaNão se aplicaFora ponta",Mercado_Receita!$L$2:$L$174)+SUMIF(Mercado_Receita!$S$2:$S$174,"44621B3ConvencionalNão se aplicaNão se aplicaNão se aplicaNão se aplicaIntermediário",Mercado_Receita!$L$2:$L$174)+SUMIF(Mercado_Receita!$S$2:$S$174,"44621B3ConvencionalNão se aplicaNão se aplicaNão se aplicaNão se aplicaNão se aplica",Mercado_Receita!$L$2:$L$174)</f>
        <v>286.20499999999998</v>
      </c>
      <c r="N45" s="13">
        <f>SUMIF(Mercado_Receita!$S$2:$S$174,"44652B3ConvencionalNão se aplicaNão se aplicaNão se aplicaNão se aplicaPonta",Mercado_Receita!$L$2:$L$174)+SUMIF(Mercado_Receita!$S$2:$S$174,"44652B3ConvencionalNão se aplicaNão se aplicaNão se aplicaNão se aplicaFora ponta",Mercado_Receita!$L$2:$L$174)+SUMIF(Mercado_Receita!$S$2:$S$174,"44652B3ConvencionalNão se aplicaNão se aplicaNão se aplicaNão se aplicaIntermediário",Mercado_Receita!$L$2:$L$174)+SUMIF(Mercado_Receita!$S$2:$S$174,"44652B3ConvencionalNão se aplicaNão se aplicaNão se aplicaNão se aplicaNão se aplica",Mercado_Receita!$L$2:$L$174)</f>
        <v>277.10500000000002</v>
      </c>
      <c r="O45" s="13">
        <f>SUMIF(Mercado_Receita!$S$2:$S$174,"44682B3ConvencionalNão se aplicaNão se aplicaNão se aplicaNão se aplicaPonta",Mercado_Receita!$L$2:$L$174)+SUMIF(Mercado_Receita!$S$2:$S$174,"44682B3ConvencionalNão se aplicaNão se aplicaNão se aplicaNão se aplicaFora ponta",Mercado_Receita!$L$2:$L$174)+SUMIF(Mercado_Receita!$S$2:$S$174,"44682B3ConvencionalNão se aplicaNão se aplicaNão se aplicaNão se aplicaIntermediário",Mercado_Receita!$L$2:$L$174)+SUMIF(Mercado_Receita!$S$2:$S$174,"44682B3ConvencionalNão se aplicaNão se aplicaNão se aplicaNão se aplicaNão se aplica",Mercado_Receita!$L$2:$L$174)</f>
        <v>274.02299999999997</v>
      </c>
      <c r="P45" s="13">
        <f>SUMIF(Mercado_Receita!$S$2:$S$174,"44713B3ConvencionalNão se aplicaNão se aplicaNão se aplicaNão se aplicaPonta",Mercado_Receita!$L$2:$L$174)+SUMIF(Mercado_Receita!$S$2:$S$174,"44713B3ConvencionalNão se aplicaNão se aplicaNão se aplicaNão se aplicaFora ponta",Mercado_Receita!$L$2:$L$174)+SUMIF(Mercado_Receita!$S$2:$S$174,"44713B3ConvencionalNão se aplicaNão se aplicaNão se aplicaNão se aplicaIntermediário",Mercado_Receita!$L$2:$L$174)+SUMIF(Mercado_Receita!$S$2:$S$174,"44713B3ConvencionalNão se aplicaNão se aplicaNão se aplicaNão se aplicaNão se aplica",Mercado_Receita!$L$2:$L$174)</f>
        <v>272.64</v>
      </c>
      <c r="Q45" s="13">
        <f>SUMIF(Mercado_Receita!$S$2:$S$174,"44743B3ConvencionalNão se aplicaNão se aplicaNão se aplicaNão se aplicaPonta",Mercado_Receita!$L$2:$L$174)+SUMIF(Mercado_Receita!$S$2:$S$174,"44743B3ConvencionalNão se aplicaNão se aplicaNão se aplicaNão se aplicaFora ponta",Mercado_Receita!$L$2:$L$174)+SUMIF(Mercado_Receita!$S$2:$S$174,"44743B3ConvencionalNão se aplicaNão se aplicaNão se aplicaNão se aplicaIntermediário",Mercado_Receita!$L$2:$L$174)+SUMIF(Mercado_Receita!$S$2:$S$174,"44743B3ConvencionalNão se aplicaNão se aplicaNão se aplicaNão se aplicaNão se aplica",Mercado_Receita!$L$2:$L$174)</f>
        <v>266.60300000000007</v>
      </c>
      <c r="R45" s="13">
        <f>SUMIF(Mercado_Receita!$S$2:$S$174,"44774B3ConvencionalNão se aplicaNão se aplicaNão se aplicaNão se aplicaPonta",Mercado_Receita!$L$2:$L$174)+SUMIF(Mercado_Receita!$S$2:$S$174,"44774B3ConvencionalNão se aplicaNão se aplicaNão se aplicaNão se aplicaFora ponta",Mercado_Receita!$L$2:$L$174)+SUMIF(Mercado_Receita!$S$2:$S$174,"44774B3ConvencionalNão se aplicaNão se aplicaNão se aplicaNão se aplicaIntermediário",Mercado_Receita!$L$2:$L$174)+SUMIF(Mercado_Receita!$S$2:$S$174,"44774B3ConvencionalNão se aplicaNão se aplicaNão se aplicaNão se aplicaNão se aplica",Mercado_Receita!$L$2:$L$174)</f>
        <v>273.85700000000003</v>
      </c>
      <c r="S45" s="13">
        <f>SUMIF(Mercado_Receita!$S$2:$S$174,"44805B3ConvencionalNão se aplicaNão se aplicaNão se aplicaNão se aplicaPonta",Mercado_Receita!$L$2:$L$174)+SUMIF(Mercado_Receita!$S$2:$S$174,"44805B3ConvencionalNão se aplicaNão se aplicaNão se aplicaNão se aplicaFora ponta",Mercado_Receita!$L$2:$L$174)+SUMIF(Mercado_Receita!$S$2:$S$174,"44805B3ConvencionalNão se aplicaNão se aplicaNão se aplicaNão se aplicaIntermediário",Mercado_Receita!$L$2:$L$174)+SUMIF(Mercado_Receita!$S$2:$S$174,"44805B3ConvencionalNão se aplicaNão se aplicaNão se aplicaNão se aplicaNão se aplica",Mercado_Receita!$L$2:$L$174)</f>
        <v>266.21600000000001</v>
      </c>
      <c r="T45" s="13">
        <f>SUMIF(Mercado_Receita!$S$2:$S$174,"44835B3ConvencionalNão se aplicaNão se aplicaNão se aplicaNão se aplicaPonta",Mercado_Receita!$L$2:$L$174)+SUMIF(Mercado_Receita!$S$2:$S$174,"44835B3ConvencionalNão se aplicaNão se aplicaNão se aplicaNão se aplicaFora ponta",Mercado_Receita!$L$2:$L$174)+SUMIF(Mercado_Receita!$S$2:$S$174,"44835B3ConvencionalNão se aplicaNão se aplicaNão se aplicaNão se aplicaIntermediário",Mercado_Receita!$L$2:$L$174)+SUMIF(Mercado_Receita!$S$2:$S$174,"44835B3ConvencionalNão se aplicaNão se aplicaNão se aplicaNão se aplicaNão se aplica",Mercado_Receita!$L$2:$L$174)</f>
        <v>316.45100000000008</v>
      </c>
      <c r="U45" s="13">
        <f t="shared" si="0"/>
        <v>3301.431</v>
      </c>
      <c r="V45" s="13"/>
      <c r="W45" s="13"/>
    </row>
    <row r="46" spans="1:23" ht="11.25" customHeight="1" x14ac:dyDescent="0.25">
      <c r="A46" s="89"/>
      <c r="B46" s="12" t="s">
        <v>78</v>
      </c>
      <c r="C46" s="12" t="s">
        <v>25</v>
      </c>
      <c r="D46" s="12" t="s">
        <v>25</v>
      </c>
      <c r="E46" s="12" t="s">
        <v>25</v>
      </c>
      <c r="F46" s="12" t="s">
        <v>25</v>
      </c>
      <c r="G46" s="13" t="s">
        <v>67</v>
      </c>
      <c r="H46" s="13" t="s">
        <v>60</v>
      </c>
      <c r="I46" s="13">
        <f>SUMIF(Mercado_Receita!$S$2:$S$174,"44501B3Convencional pré-pagamentoNão se aplicaNão se aplicaNão se aplicaNão se aplicaPonta",Mercado_Receita!$L$2:$L$174)+SUMIF(Mercado_Receita!$S$2:$S$174,"44501B3Convencional pré-pagamentoNão se aplicaNão se aplicaNão se aplicaNão se aplicaFora ponta",Mercado_Receita!$L$2:$L$174)+SUMIF(Mercado_Receita!$S$2:$S$174,"44501B3Convencional pré-pagamentoNão se aplicaNão se aplicaNão se aplicaNão se aplicaIntermediário",Mercado_Receita!$L$2:$L$174)+SUMIF(Mercado_Receita!$S$2:$S$174,"44501B3Convencional pré-pagamentoNão se aplicaNão se aplicaNão se aplicaNão se aplicaNão se aplica",Mercado_Receita!$L$2:$L$174)</f>
        <v>0</v>
      </c>
      <c r="J46" s="13">
        <f>SUMIF(Mercado_Receita!$S$2:$S$174,"44531B3Convencional pré-pagamentoNão se aplicaNão se aplicaNão se aplicaNão se aplicaPonta",Mercado_Receita!$L$2:$L$174)+SUMIF(Mercado_Receita!$S$2:$S$174,"44531B3Convencional pré-pagamentoNão se aplicaNão se aplicaNão se aplicaNão se aplicaFora ponta",Mercado_Receita!$L$2:$L$174)+SUMIF(Mercado_Receita!$S$2:$S$174,"44531B3Convencional pré-pagamentoNão se aplicaNão se aplicaNão se aplicaNão se aplicaIntermediário",Mercado_Receita!$L$2:$L$174)+SUMIF(Mercado_Receita!$S$2:$S$174,"44531B3Convencional pré-pagamentoNão se aplicaNão se aplicaNão se aplicaNão se aplicaNão se aplica",Mercado_Receita!$L$2:$L$174)</f>
        <v>0</v>
      </c>
      <c r="K46" s="13">
        <f>SUMIF(Mercado_Receita!$S$2:$S$174,"44562B3Convencional pré-pagamentoNão se aplicaNão se aplicaNão se aplicaNão se aplicaPonta",Mercado_Receita!$L$2:$L$174)+SUMIF(Mercado_Receita!$S$2:$S$174,"44562B3Convencional pré-pagamentoNão se aplicaNão se aplicaNão se aplicaNão se aplicaFora ponta",Mercado_Receita!$L$2:$L$174)+SUMIF(Mercado_Receita!$S$2:$S$174,"44562B3Convencional pré-pagamentoNão se aplicaNão se aplicaNão se aplicaNão se aplicaIntermediário",Mercado_Receita!$L$2:$L$174)+SUMIF(Mercado_Receita!$S$2:$S$174,"44562B3Convencional pré-pagamentoNão se aplicaNão se aplicaNão se aplicaNão se aplicaNão se aplica",Mercado_Receita!$L$2:$L$174)</f>
        <v>0</v>
      </c>
      <c r="L46" s="13">
        <f>SUMIF(Mercado_Receita!$S$2:$S$174,"44593B3Convencional pré-pagamentoNão se aplicaNão se aplicaNão se aplicaNão se aplicaPonta",Mercado_Receita!$L$2:$L$174)+SUMIF(Mercado_Receita!$S$2:$S$174,"44593B3Convencional pré-pagamentoNão se aplicaNão se aplicaNão se aplicaNão se aplicaFora ponta",Mercado_Receita!$L$2:$L$174)+SUMIF(Mercado_Receita!$S$2:$S$174,"44593B3Convencional pré-pagamentoNão se aplicaNão se aplicaNão se aplicaNão se aplicaIntermediário",Mercado_Receita!$L$2:$L$174)+SUMIF(Mercado_Receita!$S$2:$S$174,"44593B3Convencional pré-pagamentoNão se aplicaNão se aplicaNão se aplicaNão se aplicaNão se aplica",Mercado_Receita!$L$2:$L$174)</f>
        <v>0</v>
      </c>
      <c r="M46" s="13">
        <f>SUMIF(Mercado_Receita!$S$2:$S$174,"44621B3Convencional pré-pagamentoNão se aplicaNão se aplicaNão se aplicaNão se aplicaPonta",Mercado_Receita!$L$2:$L$174)+SUMIF(Mercado_Receita!$S$2:$S$174,"44621B3Convencional pré-pagamentoNão se aplicaNão se aplicaNão se aplicaNão se aplicaFora ponta",Mercado_Receita!$L$2:$L$174)+SUMIF(Mercado_Receita!$S$2:$S$174,"44621B3Convencional pré-pagamentoNão se aplicaNão se aplicaNão se aplicaNão se aplicaIntermediário",Mercado_Receita!$L$2:$L$174)+SUMIF(Mercado_Receita!$S$2:$S$174,"44621B3Convencional pré-pagamentoNão se aplicaNão se aplicaNão se aplicaNão se aplicaNão se aplica",Mercado_Receita!$L$2:$L$174)</f>
        <v>0</v>
      </c>
      <c r="N46" s="13">
        <f>SUMIF(Mercado_Receita!$S$2:$S$174,"44652B3Convencional pré-pagamentoNão se aplicaNão se aplicaNão se aplicaNão se aplicaPonta",Mercado_Receita!$L$2:$L$174)+SUMIF(Mercado_Receita!$S$2:$S$174,"44652B3Convencional pré-pagamentoNão se aplicaNão se aplicaNão se aplicaNão se aplicaFora ponta",Mercado_Receita!$L$2:$L$174)+SUMIF(Mercado_Receita!$S$2:$S$174,"44652B3Convencional pré-pagamentoNão se aplicaNão se aplicaNão se aplicaNão se aplicaIntermediário",Mercado_Receita!$L$2:$L$174)+SUMIF(Mercado_Receita!$S$2:$S$174,"44652B3Convencional pré-pagamentoNão se aplicaNão se aplicaNão se aplicaNão se aplicaNão se aplica",Mercado_Receita!$L$2:$L$174)</f>
        <v>0</v>
      </c>
      <c r="O46" s="13">
        <f>SUMIF(Mercado_Receita!$S$2:$S$174,"44682B3Convencional pré-pagamentoNão se aplicaNão se aplicaNão se aplicaNão se aplicaPonta",Mercado_Receita!$L$2:$L$174)+SUMIF(Mercado_Receita!$S$2:$S$174,"44682B3Convencional pré-pagamentoNão se aplicaNão se aplicaNão se aplicaNão se aplicaFora ponta",Mercado_Receita!$L$2:$L$174)+SUMIF(Mercado_Receita!$S$2:$S$174,"44682B3Convencional pré-pagamentoNão se aplicaNão se aplicaNão se aplicaNão se aplicaIntermediário",Mercado_Receita!$L$2:$L$174)+SUMIF(Mercado_Receita!$S$2:$S$174,"44682B3Convencional pré-pagamentoNão se aplicaNão se aplicaNão se aplicaNão se aplicaNão se aplica",Mercado_Receita!$L$2:$L$174)</f>
        <v>0</v>
      </c>
      <c r="P46" s="13">
        <f>SUMIF(Mercado_Receita!$S$2:$S$174,"44713B3Convencional pré-pagamentoNão se aplicaNão se aplicaNão se aplicaNão se aplicaPonta",Mercado_Receita!$L$2:$L$174)+SUMIF(Mercado_Receita!$S$2:$S$174,"44713B3Convencional pré-pagamentoNão se aplicaNão se aplicaNão se aplicaNão se aplicaFora ponta",Mercado_Receita!$L$2:$L$174)+SUMIF(Mercado_Receita!$S$2:$S$174,"44713B3Convencional pré-pagamentoNão se aplicaNão se aplicaNão se aplicaNão se aplicaIntermediário",Mercado_Receita!$L$2:$L$174)+SUMIF(Mercado_Receita!$S$2:$S$174,"44713B3Convencional pré-pagamentoNão se aplicaNão se aplicaNão se aplicaNão se aplicaNão se aplica",Mercado_Receita!$L$2:$L$174)</f>
        <v>0</v>
      </c>
      <c r="Q46" s="13">
        <f>SUMIF(Mercado_Receita!$S$2:$S$174,"44743B3Convencional pré-pagamentoNão se aplicaNão se aplicaNão se aplicaNão se aplicaPonta",Mercado_Receita!$L$2:$L$174)+SUMIF(Mercado_Receita!$S$2:$S$174,"44743B3Convencional pré-pagamentoNão se aplicaNão se aplicaNão se aplicaNão se aplicaFora ponta",Mercado_Receita!$L$2:$L$174)+SUMIF(Mercado_Receita!$S$2:$S$174,"44743B3Convencional pré-pagamentoNão se aplicaNão se aplicaNão se aplicaNão se aplicaIntermediário",Mercado_Receita!$L$2:$L$174)+SUMIF(Mercado_Receita!$S$2:$S$174,"44743B3Convencional pré-pagamentoNão se aplicaNão se aplicaNão se aplicaNão se aplicaNão se aplica",Mercado_Receita!$L$2:$L$174)</f>
        <v>0</v>
      </c>
      <c r="R46" s="13">
        <f>SUMIF(Mercado_Receita!$S$2:$S$174,"44774B3Convencional pré-pagamentoNão se aplicaNão se aplicaNão se aplicaNão se aplicaPonta",Mercado_Receita!$L$2:$L$174)+SUMIF(Mercado_Receita!$S$2:$S$174,"44774B3Convencional pré-pagamentoNão se aplicaNão se aplicaNão se aplicaNão se aplicaFora ponta",Mercado_Receita!$L$2:$L$174)+SUMIF(Mercado_Receita!$S$2:$S$174,"44774B3Convencional pré-pagamentoNão se aplicaNão se aplicaNão se aplicaNão se aplicaIntermediário",Mercado_Receita!$L$2:$L$174)+SUMIF(Mercado_Receita!$S$2:$S$174,"44774B3Convencional pré-pagamentoNão se aplicaNão se aplicaNão se aplicaNão se aplicaNão se aplica",Mercado_Receita!$L$2:$L$174)</f>
        <v>0</v>
      </c>
      <c r="S46" s="13">
        <f>SUMIF(Mercado_Receita!$S$2:$S$174,"44805B3Convencional pré-pagamentoNão se aplicaNão se aplicaNão se aplicaNão se aplicaPonta",Mercado_Receita!$L$2:$L$174)+SUMIF(Mercado_Receita!$S$2:$S$174,"44805B3Convencional pré-pagamentoNão se aplicaNão se aplicaNão se aplicaNão se aplicaFora ponta",Mercado_Receita!$L$2:$L$174)+SUMIF(Mercado_Receita!$S$2:$S$174,"44805B3Convencional pré-pagamentoNão se aplicaNão se aplicaNão se aplicaNão se aplicaIntermediário",Mercado_Receita!$L$2:$L$174)+SUMIF(Mercado_Receita!$S$2:$S$174,"44805B3Convencional pré-pagamentoNão se aplicaNão se aplicaNão se aplicaNão se aplicaNão se aplica",Mercado_Receita!$L$2:$L$174)</f>
        <v>0</v>
      </c>
      <c r="T46" s="13">
        <f>SUMIF(Mercado_Receita!$S$2:$S$174,"44835B3Convencional pré-pagamentoNão se aplicaNão se aplicaNão se aplicaNão se aplicaPonta",Mercado_Receita!$L$2:$L$174)+SUMIF(Mercado_Receita!$S$2:$S$174,"44835B3Convencional pré-pagamentoNão se aplicaNão se aplicaNão se aplicaNão se aplicaFora ponta",Mercado_Receita!$L$2:$L$174)+SUMIF(Mercado_Receita!$S$2:$S$174,"44835B3Convencional pré-pagamentoNão se aplicaNão se aplicaNão se aplicaNão se aplicaIntermediário",Mercado_Receita!$L$2:$L$174)+SUMIF(Mercado_Receita!$S$2:$S$174,"44835B3Convencional pré-pagamentoNão se aplicaNão se aplicaNão se aplicaNão se aplicaNão se aplica",Mercado_Receita!$L$2:$L$174)</f>
        <v>0</v>
      </c>
      <c r="U46" s="13">
        <f t="shared" si="0"/>
        <v>0</v>
      </c>
      <c r="V46" s="13"/>
      <c r="W46" s="13"/>
    </row>
    <row r="47" spans="1:23" ht="11.25" customHeight="1" x14ac:dyDescent="0.25">
      <c r="A47" s="88" t="s">
        <v>34</v>
      </c>
      <c r="B47" s="88" t="s">
        <v>23</v>
      </c>
      <c r="C47" s="88" t="s">
        <v>35</v>
      </c>
      <c r="D47" s="12" t="s">
        <v>36</v>
      </c>
      <c r="E47" s="12" t="s">
        <v>25</v>
      </c>
      <c r="F47" s="12" t="s">
        <v>25</v>
      </c>
      <c r="G47" s="13" t="s">
        <v>67</v>
      </c>
      <c r="H47" s="13" t="s">
        <v>60</v>
      </c>
      <c r="I47" s="13">
        <f>SUMIF(Mercado_Receita!$S$2:$S$174,"44501B4ConvencionalIluminação públicaIluminação pública – B4aNão se aplicaNão se aplicaPonta",Mercado_Receita!$L$2:$L$174)+SUMIF(Mercado_Receita!$S$2:$S$174,"44501B4ConvencionalIluminação públicaIluminação pública – B4aNão se aplicaNão se aplicaFora ponta",Mercado_Receita!$L$2:$L$174)+SUMIF(Mercado_Receita!$S$2:$S$174,"44501B4ConvencionalIluminação públicaIluminação pública – B4aNão se aplicaNão se aplicaIntermediário",Mercado_Receita!$L$2:$L$174)+SUMIF(Mercado_Receita!$S$2:$S$174,"44501B4ConvencionalIluminação públicaIluminação pública – B4aNão se aplicaNão se aplicaNão se aplica",Mercado_Receita!$L$2:$L$174)</f>
        <v>18.512</v>
      </c>
      <c r="J47" s="13">
        <f>SUMIF(Mercado_Receita!$S$2:$S$174,"44531B4ConvencionalIluminação públicaIluminação pública – B4aNão se aplicaNão se aplicaPonta",Mercado_Receita!$L$2:$L$174)+SUMIF(Mercado_Receita!$S$2:$S$174,"44531B4ConvencionalIluminação públicaIluminação pública – B4aNão se aplicaNão se aplicaFora ponta",Mercado_Receita!$L$2:$L$174)+SUMIF(Mercado_Receita!$S$2:$S$174,"44531B4ConvencionalIluminação públicaIluminação pública – B4aNão se aplicaNão se aplicaIntermediário",Mercado_Receita!$L$2:$L$174)+SUMIF(Mercado_Receita!$S$2:$S$174,"44531B4ConvencionalIluminação públicaIluminação pública – B4aNão se aplicaNão se aplicaNão se aplica",Mercado_Receita!$L$2:$L$174)</f>
        <v>19.411000000000001</v>
      </c>
      <c r="K47" s="13">
        <f>SUMIF(Mercado_Receita!$S$2:$S$174,"44562B4ConvencionalIluminação públicaIluminação pública – B4aNão se aplicaNão se aplicaPonta",Mercado_Receita!$L$2:$L$174)+SUMIF(Mercado_Receita!$S$2:$S$174,"44562B4ConvencionalIluminação públicaIluminação pública – B4aNão se aplicaNão se aplicaFora ponta",Mercado_Receita!$L$2:$L$174)+SUMIF(Mercado_Receita!$S$2:$S$174,"44562B4ConvencionalIluminação públicaIluminação pública – B4aNão se aplicaNão se aplicaIntermediário",Mercado_Receita!$L$2:$L$174)+SUMIF(Mercado_Receita!$S$2:$S$174,"44562B4ConvencionalIluminação públicaIluminação pública – B4aNão se aplicaNão se aplicaNão se aplica",Mercado_Receita!$L$2:$L$174)</f>
        <v>19.318999999999999</v>
      </c>
      <c r="L47" s="13">
        <f>SUMIF(Mercado_Receita!$S$2:$S$174,"44593B4ConvencionalIluminação públicaIluminação pública – B4aNão se aplicaNão se aplicaPonta",Mercado_Receita!$L$2:$L$174)+SUMIF(Mercado_Receita!$S$2:$S$174,"44593B4ConvencionalIluminação públicaIluminação pública – B4aNão se aplicaNão se aplicaFora ponta",Mercado_Receita!$L$2:$L$174)+SUMIF(Mercado_Receita!$S$2:$S$174,"44593B4ConvencionalIluminação públicaIluminação pública – B4aNão se aplicaNão se aplicaIntermediário",Mercado_Receita!$L$2:$L$174)+SUMIF(Mercado_Receita!$S$2:$S$174,"44593B4ConvencionalIluminação públicaIluminação pública – B4aNão se aplicaNão se aplicaNão se aplica",Mercado_Receita!$L$2:$L$174)</f>
        <v>18.029</v>
      </c>
      <c r="M47" s="13">
        <f>SUMIF(Mercado_Receita!$S$2:$S$174,"44621B4ConvencionalIluminação públicaIluminação pública – B4aNão se aplicaNão se aplicaPonta",Mercado_Receita!$L$2:$L$174)+SUMIF(Mercado_Receita!$S$2:$S$174,"44621B4ConvencionalIluminação públicaIluminação pública – B4aNão se aplicaNão se aplicaFora ponta",Mercado_Receita!$L$2:$L$174)+SUMIF(Mercado_Receita!$S$2:$S$174,"44621B4ConvencionalIluminação públicaIluminação pública – B4aNão se aplicaNão se aplicaIntermediário",Mercado_Receita!$L$2:$L$174)+SUMIF(Mercado_Receita!$S$2:$S$174,"44621B4ConvencionalIluminação públicaIluminação pública – B4aNão se aplicaNão se aplicaNão se aplica",Mercado_Receita!$L$2:$L$174)</f>
        <v>19.922999999999998</v>
      </c>
      <c r="N47" s="13">
        <f>SUMIF(Mercado_Receita!$S$2:$S$174,"44652B4ConvencionalIluminação públicaIluminação pública – B4aNão se aplicaNão se aplicaPonta",Mercado_Receita!$L$2:$L$174)+SUMIF(Mercado_Receita!$S$2:$S$174,"44652B4ConvencionalIluminação públicaIluminação pública – B4aNão se aplicaNão se aplicaFora ponta",Mercado_Receita!$L$2:$L$174)+SUMIF(Mercado_Receita!$S$2:$S$174,"44652B4ConvencionalIluminação públicaIluminação pública – B4aNão se aplicaNão se aplicaIntermediário",Mercado_Receita!$L$2:$L$174)+SUMIF(Mercado_Receita!$S$2:$S$174,"44652B4ConvencionalIluminação públicaIluminação pública – B4aNão se aplicaNão se aplicaNão se aplica",Mercado_Receita!$L$2:$L$174)</f>
        <v>23.013000000000002</v>
      </c>
      <c r="O47" s="13">
        <f>SUMIF(Mercado_Receita!$S$2:$S$174,"44682B4ConvencionalIluminação públicaIluminação pública – B4aNão se aplicaNão se aplicaPonta",Mercado_Receita!$L$2:$L$174)+SUMIF(Mercado_Receita!$S$2:$S$174,"44682B4ConvencionalIluminação públicaIluminação pública – B4aNão se aplicaNão se aplicaFora ponta",Mercado_Receita!$L$2:$L$174)+SUMIF(Mercado_Receita!$S$2:$S$174,"44682B4ConvencionalIluminação públicaIluminação pública – B4aNão se aplicaNão se aplicaIntermediário",Mercado_Receita!$L$2:$L$174)+SUMIF(Mercado_Receita!$S$2:$S$174,"44682B4ConvencionalIluminação públicaIluminação pública – B4aNão se aplicaNão se aplicaNão se aplica",Mercado_Receita!$L$2:$L$174)</f>
        <v>23.071000000000002</v>
      </c>
      <c r="P47" s="13">
        <f>SUMIF(Mercado_Receita!$S$2:$S$174,"44713B4ConvencionalIluminação públicaIluminação pública – B4aNão se aplicaNão se aplicaPonta",Mercado_Receita!$L$2:$L$174)+SUMIF(Mercado_Receita!$S$2:$S$174,"44713B4ConvencionalIluminação públicaIluminação pública – B4aNão se aplicaNão se aplicaFora ponta",Mercado_Receita!$L$2:$L$174)+SUMIF(Mercado_Receita!$S$2:$S$174,"44713B4ConvencionalIluminação públicaIluminação pública – B4aNão se aplicaNão se aplicaIntermediário",Mercado_Receita!$L$2:$L$174)+SUMIF(Mercado_Receita!$S$2:$S$174,"44713B4ConvencionalIluminação públicaIluminação pública – B4aNão se aplicaNão se aplicaNão se aplica",Mercado_Receita!$L$2:$L$174)</f>
        <v>28.919</v>
      </c>
      <c r="Q47" s="13">
        <f>SUMIF(Mercado_Receita!$S$2:$S$174,"44743B4ConvencionalIluminação públicaIluminação pública – B4aNão se aplicaNão se aplicaPonta",Mercado_Receita!$L$2:$L$174)+SUMIF(Mercado_Receita!$S$2:$S$174,"44743B4ConvencionalIluminação públicaIluminação pública – B4aNão se aplicaNão se aplicaFora ponta",Mercado_Receita!$L$2:$L$174)+SUMIF(Mercado_Receita!$S$2:$S$174,"44743B4ConvencionalIluminação públicaIluminação pública – B4aNão se aplicaNão se aplicaIntermediário",Mercado_Receita!$L$2:$L$174)+SUMIF(Mercado_Receita!$S$2:$S$174,"44743B4ConvencionalIluminação públicaIluminação pública – B4aNão se aplicaNão se aplicaNão se aplica",Mercado_Receita!$L$2:$L$174)</f>
        <v>27.431999999999999</v>
      </c>
      <c r="R47" s="13">
        <f>SUMIF(Mercado_Receita!$S$2:$S$174,"44774B4ConvencionalIluminação públicaIluminação pública – B4aNão se aplicaNão se aplicaPonta",Mercado_Receita!$L$2:$L$174)+SUMIF(Mercado_Receita!$S$2:$S$174,"44774B4ConvencionalIluminação públicaIluminação pública – B4aNão se aplicaNão se aplicaFora ponta",Mercado_Receita!$L$2:$L$174)+SUMIF(Mercado_Receita!$S$2:$S$174,"44774B4ConvencionalIluminação públicaIluminação pública – B4aNão se aplicaNão se aplicaIntermediário",Mercado_Receita!$L$2:$L$174)+SUMIF(Mercado_Receita!$S$2:$S$174,"44774B4ConvencionalIluminação públicaIluminação pública – B4aNão se aplicaNão se aplicaNão se aplica",Mercado_Receita!$L$2:$L$174)</f>
        <v>27.561</v>
      </c>
      <c r="S47" s="13">
        <f>SUMIF(Mercado_Receita!$S$2:$S$174,"44805B4ConvencionalIluminação públicaIluminação pública – B4aNão se aplicaNão se aplicaPonta",Mercado_Receita!$L$2:$L$174)+SUMIF(Mercado_Receita!$S$2:$S$174,"44805B4ConvencionalIluminação públicaIluminação pública – B4aNão se aplicaNão se aplicaFora ponta",Mercado_Receita!$L$2:$L$174)+SUMIF(Mercado_Receita!$S$2:$S$174,"44805B4ConvencionalIluminação públicaIluminação pública – B4aNão se aplicaNão se aplicaIntermediário",Mercado_Receita!$L$2:$L$174)+SUMIF(Mercado_Receita!$S$2:$S$174,"44805B4ConvencionalIluminação públicaIluminação pública – B4aNão se aplicaNão se aplicaNão se aplica",Mercado_Receita!$L$2:$L$174)</f>
        <v>25.364000000000001</v>
      </c>
      <c r="T47" s="13">
        <f>SUMIF(Mercado_Receita!$S$2:$S$174,"44835B4ConvencionalIluminação públicaIluminação pública – B4aNão se aplicaNão se aplicaPonta",Mercado_Receita!$L$2:$L$174)+SUMIF(Mercado_Receita!$S$2:$S$174,"44835B4ConvencionalIluminação públicaIluminação pública – B4aNão se aplicaNão se aplicaFora ponta",Mercado_Receita!$L$2:$L$174)+SUMIF(Mercado_Receita!$S$2:$S$174,"44835B4ConvencionalIluminação públicaIluminação pública – B4aNão se aplicaNão se aplicaIntermediário",Mercado_Receita!$L$2:$L$174)+SUMIF(Mercado_Receita!$S$2:$S$174,"44835B4ConvencionalIluminação públicaIluminação pública – B4aNão se aplicaNão se aplicaNão se aplica",Mercado_Receita!$L$2:$L$174)</f>
        <v>23.771000000000001</v>
      </c>
      <c r="U47" s="13">
        <f t="shared" si="0"/>
        <v>274.32500000000005</v>
      </c>
      <c r="V47" s="13"/>
      <c r="W47" s="13"/>
    </row>
    <row r="48" spans="1:23" ht="11.25" customHeight="1" x14ac:dyDescent="0.25">
      <c r="A48" s="89"/>
      <c r="B48" s="89"/>
      <c r="C48" s="89"/>
      <c r="D48" s="13" t="s">
        <v>81</v>
      </c>
      <c r="E48" s="13" t="s">
        <v>25</v>
      </c>
      <c r="F48" s="13" t="s">
        <v>25</v>
      </c>
      <c r="G48" s="13" t="s">
        <v>67</v>
      </c>
      <c r="H48" s="13" t="s">
        <v>60</v>
      </c>
      <c r="I48" s="13">
        <f>SUMIF(Mercado_Receita!$S$2:$S$174,"44501B4ConvencionalIluminação públicaIluminação pública – B4bNão se aplicaNão se aplicaPonta",Mercado_Receita!$L$2:$L$174)+SUMIF(Mercado_Receita!$S$2:$S$174,"44501B4ConvencionalIluminação públicaIluminação pública – B4bNão se aplicaNão se aplicaFora ponta",Mercado_Receita!$L$2:$L$174)+SUMIF(Mercado_Receita!$S$2:$S$174,"44501B4ConvencionalIluminação públicaIluminação pública – B4bNão se aplicaNão se aplicaIntermediário",Mercado_Receita!$L$2:$L$174)+SUMIF(Mercado_Receita!$S$2:$S$174,"44501B4ConvencionalIluminação públicaIluminação pública – B4bNão se aplicaNão se aplicaNão se aplica",Mercado_Receita!$L$2:$L$174)</f>
        <v>0</v>
      </c>
      <c r="J48" s="13">
        <f>SUMIF(Mercado_Receita!$S$2:$S$174,"44531B4ConvencionalIluminação públicaIluminação pública – B4bNão se aplicaNão se aplicaPonta",Mercado_Receita!$L$2:$L$174)+SUMIF(Mercado_Receita!$S$2:$S$174,"44531B4ConvencionalIluminação públicaIluminação pública – B4bNão se aplicaNão se aplicaFora ponta",Mercado_Receita!$L$2:$L$174)+SUMIF(Mercado_Receita!$S$2:$S$174,"44531B4ConvencionalIluminação públicaIluminação pública – B4bNão se aplicaNão se aplicaIntermediário",Mercado_Receita!$L$2:$L$174)+SUMIF(Mercado_Receita!$S$2:$S$174,"44531B4ConvencionalIluminação públicaIluminação pública – B4bNão se aplicaNão se aplicaNão se aplica",Mercado_Receita!$L$2:$L$174)</f>
        <v>0</v>
      </c>
      <c r="K48" s="13">
        <f>SUMIF(Mercado_Receita!$S$2:$S$174,"44562B4ConvencionalIluminação públicaIluminação pública – B4bNão se aplicaNão se aplicaPonta",Mercado_Receita!$L$2:$L$174)+SUMIF(Mercado_Receita!$S$2:$S$174,"44562B4ConvencionalIluminação públicaIluminação pública – B4bNão se aplicaNão se aplicaFora ponta",Mercado_Receita!$L$2:$L$174)+SUMIF(Mercado_Receita!$S$2:$S$174,"44562B4ConvencionalIluminação públicaIluminação pública – B4bNão se aplicaNão se aplicaIntermediário",Mercado_Receita!$L$2:$L$174)+SUMIF(Mercado_Receita!$S$2:$S$174,"44562B4ConvencionalIluminação públicaIluminação pública – B4bNão se aplicaNão se aplicaNão se aplica",Mercado_Receita!$L$2:$L$174)</f>
        <v>0</v>
      </c>
      <c r="L48" s="13">
        <f>SUMIF(Mercado_Receita!$S$2:$S$174,"44593B4ConvencionalIluminação públicaIluminação pública – B4bNão se aplicaNão se aplicaPonta",Mercado_Receita!$L$2:$L$174)+SUMIF(Mercado_Receita!$S$2:$S$174,"44593B4ConvencionalIluminação públicaIluminação pública – B4bNão se aplicaNão se aplicaFora ponta",Mercado_Receita!$L$2:$L$174)+SUMIF(Mercado_Receita!$S$2:$S$174,"44593B4ConvencionalIluminação públicaIluminação pública – B4bNão se aplicaNão se aplicaIntermediário",Mercado_Receita!$L$2:$L$174)+SUMIF(Mercado_Receita!$S$2:$S$174,"44593B4ConvencionalIluminação públicaIluminação pública – B4bNão se aplicaNão se aplicaNão se aplica",Mercado_Receita!$L$2:$L$174)</f>
        <v>0</v>
      </c>
      <c r="M48" s="13">
        <f>SUMIF(Mercado_Receita!$S$2:$S$174,"44621B4ConvencionalIluminação públicaIluminação pública – B4bNão se aplicaNão se aplicaPonta",Mercado_Receita!$L$2:$L$174)+SUMIF(Mercado_Receita!$S$2:$S$174,"44621B4ConvencionalIluminação públicaIluminação pública – B4bNão se aplicaNão se aplicaFora ponta",Mercado_Receita!$L$2:$L$174)+SUMIF(Mercado_Receita!$S$2:$S$174,"44621B4ConvencionalIluminação públicaIluminação pública – B4bNão se aplicaNão se aplicaIntermediário",Mercado_Receita!$L$2:$L$174)+SUMIF(Mercado_Receita!$S$2:$S$174,"44621B4ConvencionalIluminação públicaIluminação pública – B4bNão se aplicaNão se aplicaNão se aplica",Mercado_Receita!$L$2:$L$174)</f>
        <v>0</v>
      </c>
      <c r="N48" s="13">
        <f>SUMIF(Mercado_Receita!$S$2:$S$174,"44652B4ConvencionalIluminação públicaIluminação pública – B4bNão se aplicaNão se aplicaPonta",Mercado_Receita!$L$2:$L$174)+SUMIF(Mercado_Receita!$S$2:$S$174,"44652B4ConvencionalIluminação públicaIluminação pública – B4bNão se aplicaNão se aplicaFora ponta",Mercado_Receita!$L$2:$L$174)+SUMIF(Mercado_Receita!$S$2:$S$174,"44652B4ConvencionalIluminação públicaIluminação pública – B4bNão se aplicaNão se aplicaIntermediário",Mercado_Receita!$L$2:$L$174)+SUMIF(Mercado_Receita!$S$2:$S$174,"44652B4ConvencionalIluminação públicaIluminação pública – B4bNão se aplicaNão se aplicaNão se aplica",Mercado_Receita!$L$2:$L$174)</f>
        <v>0</v>
      </c>
      <c r="O48" s="13">
        <f>SUMIF(Mercado_Receita!$S$2:$S$174,"44682B4ConvencionalIluminação públicaIluminação pública – B4bNão se aplicaNão se aplicaPonta",Mercado_Receita!$L$2:$L$174)+SUMIF(Mercado_Receita!$S$2:$S$174,"44682B4ConvencionalIluminação públicaIluminação pública – B4bNão se aplicaNão se aplicaFora ponta",Mercado_Receita!$L$2:$L$174)+SUMIF(Mercado_Receita!$S$2:$S$174,"44682B4ConvencionalIluminação públicaIluminação pública – B4bNão se aplicaNão se aplicaIntermediário",Mercado_Receita!$L$2:$L$174)+SUMIF(Mercado_Receita!$S$2:$S$174,"44682B4ConvencionalIluminação públicaIluminação pública – B4bNão se aplicaNão se aplicaNão se aplica",Mercado_Receita!$L$2:$L$174)</f>
        <v>0</v>
      </c>
      <c r="P48" s="13">
        <f>SUMIF(Mercado_Receita!$S$2:$S$174,"44713B4ConvencionalIluminação públicaIluminação pública – B4bNão se aplicaNão se aplicaPonta",Mercado_Receita!$L$2:$L$174)+SUMIF(Mercado_Receita!$S$2:$S$174,"44713B4ConvencionalIluminação públicaIluminação pública – B4bNão se aplicaNão se aplicaFora ponta",Mercado_Receita!$L$2:$L$174)+SUMIF(Mercado_Receita!$S$2:$S$174,"44713B4ConvencionalIluminação públicaIluminação pública – B4bNão se aplicaNão se aplicaIntermediário",Mercado_Receita!$L$2:$L$174)+SUMIF(Mercado_Receita!$S$2:$S$174,"44713B4ConvencionalIluminação públicaIluminação pública – B4bNão se aplicaNão se aplicaNão se aplica",Mercado_Receita!$L$2:$L$174)</f>
        <v>0</v>
      </c>
      <c r="Q48" s="13">
        <f>SUMIF(Mercado_Receita!$S$2:$S$174,"44743B4ConvencionalIluminação públicaIluminação pública – B4bNão se aplicaNão se aplicaPonta",Mercado_Receita!$L$2:$L$174)+SUMIF(Mercado_Receita!$S$2:$S$174,"44743B4ConvencionalIluminação públicaIluminação pública – B4bNão se aplicaNão se aplicaFora ponta",Mercado_Receita!$L$2:$L$174)+SUMIF(Mercado_Receita!$S$2:$S$174,"44743B4ConvencionalIluminação públicaIluminação pública – B4bNão se aplicaNão se aplicaIntermediário",Mercado_Receita!$L$2:$L$174)+SUMIF(Mercado_Receita!$S$2:$S$174,"44743B4ConvencionalIluminação públicaIluminação pública – B4bNão se aplicaNão se aplicaNão se aplica",Mercado_Receita!$L$2:$L$174)</f>
        <v>0</v>
      </c>
      <c r="R48" s="13">
        <f>SUMIF(Mercado_Receita!$S$2:$S$174,"44774B4ConvencionalIluminação públicaIluminação pública – B4bNão se aplicaNão se aplicaPonta",Mercado_Receita!$L$2:$L$174)+SUMIF(Mercado_Receita!$S$2:$S$174,"44774B4ConvencionalIluminação públicaIluminação pública – B4bNão se aplicaNão se aplicaFora ponta",Mercado_Receita!$L$2:$L$174)+SUMIF(Mercado_Receita!$S$2:$S$174,"44774B4ConvencionalIluminação públicaIluminação pública – B4bNão se aplicaNão se aplicaIntermediário",Mercado_Receita!$L$2:$L$174)+SUMIF(Mercado_Receita!$S$2:$S$174,"44774B4ConvencionalIluminação públicaIluminação pública – B4bNão se aplicaNão se aplicaNão se aplica",Mercado_Receita!$L$2:$L$174)</f>
        <v>0</v>
      </c>
      <c r="S48" s="13">
        <f>SUMIF(Mercado_Receita!$S$2:$S$174,"44805B4ConvencionalIluminação públicaIluminação pública – B4bNão se aplicaNão se aplicaPonta",Mercado_Receita!$L$2:$L$174)+SUMIF(Mercado_Receita!$S$2:$S$174,"44805B4ConvencionalIluminação públicaIluminação pública – B4bNão se aplicaNão se aplicaFora ponta",Mercado_Receita!$L$2:$L$174)+SUMIF(Mercado_Receita!$S$2:$S$174,"44805B4ConvencionalIluminação públicaIluminação pública – B4bNão se aplicaNão se aplicaIntermediário",Mercado_Receita!$L$2:$L$174)+SUMIF(Mercado_Receita!$S$2:$S$174,"44805B4ConvencionalIluminação públicaIluminação pública – B4bNão se aplicaNão se aplicaNão se aplica",Mercado_Receita!$L$2:$L$174)</f>
        <v>0</v>
      </c>
      <c r="T48" s="13">
        <f>SUMIF(Mercado_Receita!$S$2:$S$174,"44835B4ConvencionalIluminação públicaIluminação pública – B4bNão se aplicaNão se aplicaPonta",Mercado_Receita!$L$2:$L$174)+SUMIF(Mercado_Receita!$S$2:$S$174,"44835B4ConvencionalIluminação públicaIluminação pública – B4bNão se aplicaNão se aplicaFora ponta",Mercado_Receita!$L$2:$L$174)+SUMIF(Mercado_Receita!$S$2:$S$174,"44835B4ConvencionalIluminação públicaIluminação pública – B4bNão se aplicaNão se aplicaIntermediário",Mercado_Receita!$L$2:$L$174)+SUMIF(Mercado_Receita!$S$2:$S$174,"44835B4ConvencionalIluminação públicaIluminação pública – B4bNão se aplicaNão se aplicaNão se aplica",Mercado_Receita!$L$2:$L$174)</f>
        <v>0</v>
      </c>
      <c r="U48" s="13">
        <f t="shared" si="0"/>
        <v>0</v>
      </c>
      <c r="V48" s="13"/>
      <c r="W48" s="13"/>
    </row>
    <row r="49" spans="1:23" ht="11.25" customHeight="1" x14ac:dyDescent="0.25">
      <c r="A49" s="90" t="s">
        <v>262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13"/>
      <c r="W49" s="13"/>
    </row>
  </sheetData>
  <mergeCells count="55">
    <mergeCell ref="A47:A48"/>
    <mergeCell ref="B47:B48"/>
    <mergeCell ref="C47:C48"/>
    <mergeCell ref="A49:U49"/>
    <mergeCell ref="C39:C41"/>
    <mergeCell ref="B39:B41"/>
    <mergeCell ref="A27:A41"/>
    <mergeCell ref="F42:F44"/>
    <mergeCell ref="E42:E44"/>
    <mergeCell ref="D42:D44"/>
    <mergeCell ref="C42:C44"/>
    <mergeCell ref="B42:B44"/>
    <mergeCell ref="A42:A46"/>
    <mergeCell ref="F31:F33"/>
    <mergeCell ref="E31:E33"/>
    <mergeCell ref="D31:D33"/>
    <mergeCell ref="C31:C33"/>
    <mergeCell ref="B31:B33"/>
    <mergeCell ref="F35:F37"/>
    <mergeCell ref="E35:E37"/>
    <mergeCell ref="D35:D37"/>
    <mergeCell ref="C35:C37"/>
    <mergeCell ref="B35:B37"/>
    <mergeCell ref="C17:C21"/>
    <mergeCell ref="B17:B21"/>
    <mergeCell ref="C22:C26"/>
    <mergeCell ref="B22:B26"/>
    <mergeCell ref="A14:A26"/>
    <mergeCell ref="F27:F29"/>
    <mergeCell ref="E27:E29"/>
    <mergeCell ref="D27:D29"/>
    <mergeCell ref="C27:C29"/>
    <mergeCell ref="B27:B29"/>
    <mergeCell ref="D12:D13"/>
    <mergeCell ref="C12:C13"/>
    <mergeCell ref="B12:B13"/>
    <mergeCell ref="A12:A13"/>
    <mergeCell ref="F14:F16"/>
    <mergeCell ref="E14:E16"/>
    <mergeCell ref="D14:D16"/>
    <mergeCell ref="C14:C16"/>
    <mergeCell ref="B14:B16"/>
    <mergeCell ref="A2:A11"/>
    <mergeCell ref="F2:F4"/>
    <mergeCell ref="E2:E4"/>
    <mergeCell ref="D2:D5"/>
    <mergeCell ref="C2:C5"/>
    <mergeCell ref="B2:B5"/>
    <mergeCell ref="F7:F9"/>
    <mergeCell ref="E7:E9"/>
    <mergeCell ref="F10:F11"/>
    <mergeCell ref="E10:E11"/>
    <mergeCell ref="D7:D11"/>
    <mergeCell ref="C7:C11"/>
    <mergeCell ref="B7:B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883C-2816-4C4B-9201-C4F85DBF1923}">
  <sheetPr codeName="Planilha5"/>
  <dimension ref="A1:AD39"/>
  <sheetViews>
    <sheetView showGridLines="0" workbookViewId="0">
      <selection sqref="A1:W39"/>
    </sheetView>
  </sheetViews>
  <sheetFormatPr defaultColWidth="9.140625"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10" width="6.140625" style="9" bestFit="1" customWidth="1"/>
    <col min="11" max="12" width="5.7109375" style="9" bestFit="1" customWidth="1"/>
    <col min="13" max="13" width="6.42578125" style="9" bestFit="1" customWidth="1"/>
    <col min="14" max="14" width="5.85546875" style="9" bestFit="1" customWidth="1"/>
    <col min="15" max="15" width="6.140625" style="9" bestFit="1" customWidth="1"/>
    <col min="16" max="17" width="5.7109375" style="9" bestFit="1" customWidth="1"/>
    <col min="18" max="18" width="6.140625" style="9" bestFit="1" customWidth="1"/>
    <col min="19" max="20" width="5.85546875" style="9" bestFit="1" customWidth="1"/>
    <col min="21" max="21" width="14.140625" style="9" bestFit="1" customWidth="1"/>
    <col min="22" max="16384" width="9.140625" style="9"/>
  </cols>
  <sheetData>
    <row r="1" spans="1:30" ht="11.25" customHeight="1" x14ac:dyDescent="0.25">
      <c r="A1" s="10" t="s">
        <v>49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56</v>
      </c>
      <c r="I1" s="11">
        <v>44501</v>
      </c>
      <c r="J1" s="11">
        <v>44531</v>
      </c>
      <c r="K1" s="11">
        <v>44562</v>
      </c>
      <c r="L1" s="11">
        <v>44593</v>
      </c>
      <c r="M1" s="11">
        <v>44621</v>
      </c>
      <c r="N1" s="11">
        <v>44652</v>
      </c>
      <c r="O1" s="11">
        <v>44682</v>
      </c>
      <c r="P1" s="11">
        <v>44713</v>
      </c>
      <c r="Q1" s="11">
        <v>44743</v>
      </c>
      <c r="R1" s="11">
        <v>44774</v>
      </c>
      <c r="S1" s="11">
        <v>44805</v>
      </c>
      <c r="T1" s="11">
        <v>44835</v>
      </c>
      <c r="U1" s="10" t="s">
        <v>57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25">
      <c r="A2" s="88" t="s">
        <v>58</v>
      </c>
      <c r="B2" s="88" t="s">
        <v>59</v>
      </c>
      <c r="C2" s="88" t="s">
        <v>25</v>
      </c>
      <c r="D2" s="88" t="s">
        <v>25</v>
      </c>
      <c r="E2" s="88" t="s">
        <v>25</v>
      </c>
      <c r="F2" s="88" t="s">
        <v>25</v>
      </c>
      <c r="G2" s="13" t="s">
        <v>61</v>
      </c>
      <c r="H2" s="13" t="s">
        <v>60</v>
      </c>
      <c r="I2" s="13">
        <f>SUMIF(Mercado_Receita!$T$2:$T$174,"44501A4Energia horáriaNão se aplicaNão se aplicaNão se aplicaNão se aplicaPonta",Mercado_Receita!$N$2:$N$174)</f>
        <v>0</v>
      </c>
      <c r="J2" s="13">
        <f>SUMIF(Mercado_Receita!$T$2:$T$174,"44531A4Energia horáriaNão se aplicaNão se aplicaNão se aplicaNão se aplicaPonta",Mercado_Receita!$N$2:$N$174)</f>
        <v>0</v>
      </c>
      <c r="K2" s="13">
        <f>SUMIF(Mercado_Receita!$T$2:$T$174,"44562A4Energia horáriaNão se aplicaNão se aplicaNão se aplicaNão se aplicaPonta",Mercado_Receita!$N$2:$N$174)</f>
        <v>0</v>
      </c>
      <c r="L2" s="13">
        <f>SUMIF(Mercado_Receita!$T$2:$T$174,"44593A4Energia horáriaNão se aplicaNão se aplicaNão se aplicaNão se aplicaPonta",Mercado_Receita!$N$2:$N$174)</f>
        <v>0</v>
      </c>
      <c r="M2" s="13">
        <f>SUMIF(Mercado_Receita!$T$2:$T$174,"44621A4Energia horáriaNão se aplicaNão se aplicaNão se aplicaNão se aplicaPonta",Mercado_Receita!$N$2:$N$174)</f>
        <v>0</v>
      </c>
      <c r="N2" s="13">
        <f>SUMIF(Mercado_Receita!$T$2:$T$174,"44652A4Energia horáriaNão se aplicaNão se aplicaNão se aplicaNão se aplicaPonta",Mercado_Receita!$N$2:$N$174)</f>
        <v>0</v>
      </c>
      <c r="O2" s="13">
        <f>SUMIF(Mercado_Receita!$T$2:$T$174,"44682A4Energia horáriaNão se aplicaNão se aplicaNão se aplicaNão se aplicaPonta",Mercado_Receita!$N$2:$N$174)</f>
        <v>0</v>
      </c>
      <c r="P2" s="13">
        <f>SUMIF(Mercado_Receita!$T$2:$T$174,"44713A4Energia horáriaNão se aplicaNão se aplicaNão se aplicaNão se aplicaPonta",Mercado_Receita!$N$2:$N$174)</f>
        <v>0</v>
      </c>
      <c r="Q2" s="13">
        <f>SUMIF(Mercado_Receita!$T$2:$T$174,"44743A4Energia horáriaNão se aplicaNão se aplicaNão se aplicaNão se aplicaPonta",Mercado_Receita!$N$2:$N$174)</f>
        <v>0</v>
      </c>
      <c r="R2" s="13">
        <f>SUMIF(Mercado_Receita!$T$2:$T$174,"44774A4Energia horáriaNão se aplicaNão se aplicaNão se aplicaNão se aplicaPonta",Mercado_Receita!$N$2:$N$174)</f>
        <v>0</v>
      </c>
      <c r="S2" s="13">
        <f>SUMIF(Mercado_Receita!$T$2:$T$174,"44805A4Energia horáriaNão se aplicaNão se aplicaNão se aplicaNão se aplicaPonta",Mercado_Receita!$N$2:$N$174)</f>
        <v>0</v>
      </c>
      <c r="T2" s="13">
        <f>SUMIF(Mercado_Receita!$T$2:$T$174,"44835A4Energia horáriaNão se aplicaNão se aplicaNão se aplicaNão se aplicaPonta",Mercado_Receita!$N$2:$N$174)</f>
        <v>0</v>
      </c>
      <c r="U2" s="13">
        <f t="shared" ref="U2:U38" si="0">SUM(I2:T2)</f>
        <v>0</v>
      </c>
      <c r="V2" s="13"/>
      <c r="W2" s="13"/>
    </row>
    <row r="3" spans="1:30" ht="11.25" customHeight="1" x14ac:dyDescent="0.25">
      <c r="A3" s="89"/>
      <c r="B3" s="89"/>
      <c r="C3" s="89"/>
      <c r="D3" s="89"/>
      <c r="E3" s="89"/>
      <c r="F3" s="89"/>
      <c r="G3" s="13" t="s">
        <v>62</v>
      </c>
      <c r="H3" s="13" t="s">
        <v>60</v>
      </c>
      <c r="I3" s="13">
        <f>SUMIF(Mercado_Receita!$T$2:$T$174,"44501A4Energia horáriaNão se aplicaNão se aplicaNão se aplicaNão se aplicaFora ponta",Mercado_Receita!$N$2:$N$174)</f>
        <v>0</v>
      </c>
      <c r="J3" s="13">
        <f>SUMIF(Mercado_Receita!$T$2:$T$174,"44531A4Energia horáriaNão se aplicaNão se aplicaNão se aplicaNão se aplicaFora ponta",Mercado_Receita!$N$2:$N$174)</f>
        <v>0</v>
      </c>
      <c r="K3" s="13">
        <f>SUMIF(Mercado_Receita!$T$2:$T$174,"44562A4Energia horáriaNão se aplicaNão se aplicaNão se aplicaNão se aplicaFora ponta",Mercado_Receita!$N$2:$N$174)</f>
        <v>0</v>
      </c>
      <c r="L3" s="13">
        <f>SUMIF(Mercado_Receita!$T$2:$T$174,"44593A4Energia horáriaNão se aplicaNão se aplicaNão se aplicaNão se aplicaFora ponta",Mercado_Receita!$N$2:$N$174)</f>
        <v>0</v>
      </c>
      <c r="M3" s="13">
        <f>SUMIF(Mercado_Receita!$T$2:$T$174,"44621A4Energia horáriaNão se aplicaNão se aplicaNão se aplicaNão se aplicaFora ponta",Mercado_Receita!$N$2:$N$174)</f>
        <v>0</v>
      </c>
      <c r="N3" s="13">
        <f>SUMIF(Mercado_Receita!$T$2:$T$174,"44652A4Energia horáriaNão se aplicaNão se aplicaNão se aplicaNão se aplicaFora ponta",Mercado_Receita!$N$2:$N$174)</f>
        <v>0</v>
      </c>
      <c r="O3" s="13">
        <f>SUMIF(Mercado_Receita!$T$2:$T$174,"44682A4Energia horáriaNão se aplicaNão se aplicaNão se aplicaNão se aplicaFora ponta",Mercado_Receita!$N$2:$N$174)</f>
        <v>0</v>
      </c>
      <c r="P3" s="13">
        <f>SUMIF(Mercado_Receita!$T$2:$T$174,"44713A4Energia horáriaNão se aplicaNão se aplicaNão se aplicaNão se aplicaFora ponta",Mercado_Receita!$N$2:$N$174)</f>
        <v>0</v>
      </c>
      <c r="Q3" s="13">
        <f>SUMIF(Mercado_Receita!$T$2:$T$174,"44743A4Energia horáriaNão se aplicaNão se aplicaNão se aplicaNão se aplicaFora ponta",Mercado_Receita!$N$2:$N$174)</f>
        <v>0</v>
      </c>
      <c r="R3" s="13">
        <f>SUMIF(Mercado_Receita!$T$2:$T$174,"44774A4Energia horáriaNão se aplicaNão se aplicaNão se aplicaNão se aplicaFora ponta",Mercado_Receita!$N$2:$N$174)</f>
        <v>0</v>
      </c>
      <c r="S3" s="13">
        <f>SUMIF(Mercado_Receita!$T$2:$T$174,"44805A4Energia horáriaNão se aplicaNão se aplicaNão se aplicaNão se aplicaFora ponta",Mercado_Receita!$N$2:$N$174)</f>
        <v>0</v>
      </c>
      <c r="T3" s="13">
        <f>SUMIF(Mercado_Receita!$T$2:$T$174,"44835A4Energia horáriaNão se aplicaNão se aplicaNão se aplicaNão se aplicaFora ponta",Mercado_Receita!$N$2:$N$174)</f>
        <v>0</v>
      </c>
      <c r="U3" s="13">
        <f t="shared" si="0"/>
        <v>0</v>
      </c>
      <c r="V3" s="13"/>
      <c r="W3" s="13"/>
    </row>
    <row r="4" spans="1:30" ht="11.25" customHeight="1" x14ac:dyDescent="0.25">
      <c r="A4" s="88" t="s">
        <v>22</v>
      </c>
      <c r="B4" s="88" t="s">
        <v>59</v>
      </c>
      <c r="C4" s="88" t="s">
        <v>24</v>
      </c>
      <c r="D4" s="88" t="s">
        <v>24</v>
      </c>
      <c r="E4" s="88" t="s">
        <v>25</v>
      </c>
      <c r="F4" s="88" t="s">
        <v>25</v>
      </c>
      <c r="G4" s="13" t="s">
        <v>61</v>
      </c>
      <c r="H4" s="13" t="s">
        <v>60</v>
      </c>
      <c r="I4" s="13">
        <f>SUMIF(Mercado_Receita!$T$2:$T$174,"44501B1Energia horáriaResidencialResidencialNão se aplicaNão se aplicaPonta",Mercado_Receita!$N$2:$N$174)</f>
        <v>0</v>
      </c>
      <c r="J4" s="13">
        <f>SUMIF(Mercado_Receita!$T$2:$T$174,"44531B1Energia horáriaResidencialResidencialNão se aplicaNão se aplicaPonta",Mercado_Receita!$N$2:$N$174)</f>
        <v>0</v>
      </c>
      <c r="K4" s="13">
        <f>SUMIF(Mercado_Receita!$T$2:$T$174,"44562B1Energia horáriaResidencialResidencialNão se aplicaNão se aplicaPonta",Mercado_Receita!$N$2:$N$174)</f>
        <v>0</v>
      </c>
      <c r="L4" s="13">
        <f>SUMIF(Mercado_Receita!$T$2:$T$174,"44593B1Energia horáriaResidencialResidencialNão se aplicaNão se aplicaPonta",Mercado_Receita!$N$2:$N$174)</f>
        <v>0</v>
      </c>
      <c r="M4" s="13">
        <f>SUMIF(Mercado_Receita!$T$2:$T$174,"44621B1Energia horáriaResidencialResidencialNão se aplicaNão se aplicaPonta",Mercado_Receita!$N$2:$N$174)</f>
        <v>0</v>
      </c>
      <c r="N4" s="13">
        <f>SUMIF(Mercado_Receita!$T$2:$T$174,"44652B1Energia horáriaResidencialResidencialNão se aplicaNão se aplicaPonta",Mercado_Receita!$N$2:$N$174)</f>
        <v>0</v>
      </c>
      <c r="O4" s="13">
        <f>SUMIF(Mercado_Receita!$T$2:$T$174,"44682B1Energia horáriaResidencialResidencialNão se aplicaNão se aplicaPonta",Mercado_Receita!$N$2:$N$174)</f>
        <v>0</v>
      </c>
      <c r="P4" s="13">
        <f>SUMIF(Mercado_Receita!$T$2:$T$174,"44713B1Energia horáriaResidencialResidencialNão se aplicaNão se aplicaPonta",Mercado_Receita!$N$2:$N$174)</f>
        <v>0</v>
      </c>
      <c r="Q4" s="13">
        <f>SUMIF(Mercado_Receita!$T$2:$T$174,"44743B1Energia horáriaResidencialResidencialNão se aplicaNão se aplicaPonta",Mercado_Receita!$N$2:$N$174)</f>
        <v>0</v>
      </c>
      <c r="R4" s="13">
        <f>SUMIF(Mercado_Receita!$T$2:$T$174,"44774B1Energia horáriaResidencialResidencialNão se aplicaNão se aplicaPonta",Mercado_Receita!$N$2:$N$174)</f>
        <v>0</v>
      </c>
      <c r="S4" s="13">
        <f>SUMIF(Mercado_Receita!$T$2:$T$174,"44805B1Energia horáriaResidencialResidencialNão se aplicaNão se aplicaPonta",Mercado_Receita!$N$2:$N$174)</f>
        <v>0</v>
      </c>
      <c r="T4" s="13">
        <f>SUMIF(Mercado_Receita!$T$2:$T$174,"44835B1Energia horáriaResidencialResidencialNão se aplicaNão se aplicaPonta",Mercado_Receita!$N$2:$N$174)</f>
        <v>0</v>
      </c>
      <c r="U4" s="13">
        <f t="shared" si="0"/>
        <v>0</v>
      </c>
      <c r="V4" s="13"/>
      <c r="W4" s="13"/>
    </row>
    <row r="5" spans="1:30" ht="11.25" customHeight="1" x14ac:dyDescent="0.25">
      <c r="A5" s="89"/>
      <c r="B5" s="89"/>
      <c r="C5" s="89"/>
      <c r="D5" s="89"/>
      <c r="E5" s="89"/>
      <c r="F5" s="89"/>
      <c r="G5" s="13" t="s">
        <v>74</v>
      </c>
      <c r="H5" s="13" t="s">
        <v>60</v>
      </c>
      <c r="I5" s="13">
        <f>SUMIF(Mercado_Receita!$T$2:$T$174,"44501B1Energia horáriaResidencialResidencialNão se aplicaNão se aplicaIntermediário",Mercado_Receita!$N$2:$N$174)</f>
        <v>0</v>
      </c>
      <c r="J5" s="13">
        <f>SUMIF(Mercado_Receita!$T$2:$T$174,"44531B1Energia horáriaResidencialResidencialNão se aplicaNão se aplicaIntermediário",Mercado_Receita!$N$2:$N$174)</f>
        <v>0</v>
      </c>
      <c r="K5" s="13">
        <f>SUMIF(Mercado_Receita!$T$2:$T$174,"44562B1Energia horáriaResidencialResidencialNão se aplicaNão se aplicaIntermediário",Mercado_Receita!$N$2:$N$174)</f>
        <v>0</v>
      </c>
      <c r="L5" s="13">
        <f>SUMIF(Mercado_Receita!$T$2:$T$174,"44593B1Energia horáriaResidencialResidencialNão se aplicaNão se aplicaIntermediário",Mercado_Receita!$N$2:$N$174)</f>
        <v>0</v>
      </c>
      <c r="M5" s="13">
        <f>SUMIF(Mercado_Receita!$T$2:$T$174,"44621B1Energia horáriaResidencialResidencialNão se aplicaNão se aplicaIntermediário",Mercado_Receita!$N$2:$N$174)</f>
        <v>0</v>
      </c>
      <c r="N5" s="13">
        <f>SUMIF(Mercado_Receita!$T$2:$T$174,"44652B1Energia horáriaResidencialResidencialNão se aplicaNão se aplicaIntermediário",Mercado_Receita!$N$2:$N$174)</f>
        <v>0</v>
      </c>
      <c r="O5" s="13">
        <f>SUMIF(Mercado_Receita!$T$2:$T$174,"44682B1Energia horáriaResidencialResidencialNão se aplicaNão se aplicaIntermediário",Mercado_Receita!$N$2:$N$174)</f>
        <v>0</v>
      </c>
      <c r="P5" s="13">
        <f>SUMIF(Mercado_Receita!$T$2:$T$174,"44713B1Energia horáriaResidencialResidencialNão se aplicaNão se aplicaIntermediário",Mercado_Receita!$N$2:$N$174)</f>
        <v>0</v>
      </c>
      <c r="Q5" s="13">
        <f>SUMIF(Mercado_Receita!$T$2:$T$174,"44743B1Energia horáriaResidencialResidencialNão se aplicaNão se aplicaIntermediário",Mercado_Receita!$N$2:$N$174)</f>
        <v>0</v>
      </c>
      <c r="R5" s="13">
        <f>SUMIF(Mercado_Receita!$T$2:$T$174,"44774B1Energia horáriaResidencialResidencialNão se aplicaNão se aplicaIntermediário",Mercado_Receita!$N$2:$N$174)</f>
        <v>0</v>
      </c>
      <c r="S5" s="13">
        <f>SUMIF(Mercado_Receita!$T$2:$T$174,"44805B1Energia horáriaResidencialResidencialNão se aplicaNão se aplicaIntermediário",Mercado_Receita!$N$2:$N$174)</f>
        <v>0</v>
      </c>
      <c r="T5" s="13">
        <f>SUMIF(Mercado_Receita!$T$2:$T$174,"44835B1Energia horáriaResidencialResidencialNão se aplicaNão se aplicaIntermediário",Mercado_Receita!$N$2:$N$174)</f>
        <v>0</v>
      </c>
      <c r="U5" s="13">
        <f t="shared" si="0"/>
        <v>0</v>
      </c>
      <c r="V5" s="13"/>
      <c r="W5" s="13"/>
    </row>
    <row r="6" spans="1:30" ht="11.25" customHeight="1" x14ac:dyDescent="0.25">
      <c r="A6" s="89"/>
      <c r="B6" s="89"/>
      <c r="C6" s="89"/>
      <c r="D6" s="89"/>
      <c r="E6" s="89"/>
      <c r="F6" s="89"/>
      <c r="G6" s="13" t="s">
        <v>62</v>
      </c>
      <c r="H6" s="13" t="s">
        <v>60</v>
      </c>
      <c r="I6" s="13">
        <f>SUMIF(Mercado_Receita!$T$2:$T$174,"44501B1Energia horáriaResidencialResidencialNão se aplicaNão se aplicaFora ponta",Mercado_Receita!$N$2:$N$174)</f>
        <v>0</v>
      </c>
      <c r="J6" s="13">
        <f>SUMIF(Mercado_Receita!$T$2:$T$174,"44531B1Energia horáriaResidencialResidencialNão se aplicaNão se aplicaFora ponta",Mercado_Receita!$N$2:$N$174)</f>
        <v>0</v>
      </c>
      <c r="K6" s="13">
        <f>SUMIF(Mercado_Receita!$T$2:$T$174,"44562B1Energia horáriaResidencialResidencialNão se aplicaNão se aplicaFora ponta",Mercado_Receita!$N$2:$N$174)</f>
        <v>0</v>
      </c>
      <c r="L6" s="13">
        <f>SUMIF(Mercado_Receita!$T$2:$T$174,"44593B1Energia horáriaResidencialResidencialNão se aplicaNão se aplicaFora ponta",Mercado_Receita!$N$2:$N$174)</f>
        <v>0</v>
      </c>
      <c r="M6" s="13">
        <f>SUMIF(Mercado_Receita!$T$2:$T$174,"44621B1Energia horáriaResidencialResidencialNão se aplicaNão se aplicaFora ponta",Mercado_Receita!$N$2:$N$174)</f>
        <v>0</v>
      </c>
      <c r="N6" s="13">
        <f>SUMIF(Mercado_Receita!$T$2:$T$174,"44652B1Energia horáriaResidencialResidencialNão se aplicaNão se aplicaFora ponta",Mercado_Receita!$N$2:$N$174)</f>
        <v>0</v>
      </c>
      <c r="O6" s="13">
        <f>SUMIF(Mercado_Receita!$T$2:$T$174,"44682B1Energia horáriaResidencialResidencialNão se aplicaNão se aplicaFora ponta",Mercado_Receita!$N$2:$N$174)</f>
        <v>0</v>
      </c>
      <c r="P6" s="13">
        <f>SUMIF(Mercado_Receita!$T$2:$T$174,"44713B1Energia horáriaResidencialResidencialNão se aplicaNão se aplicaFora ponta",Mercado_Receita!$N$2:$N$174)</f>
        <v>0</v>
      </c>
      <c r="Q6" s="13">
        <f>SUMIF(Mercado_Receita!$T$2:$T$174,"44743B1Energia horáriaResidencialResidencialNão se aplicaNão se aplicaFora ponta",Mercado_Receita!$N$2:$N$174)</f>
        <v>0</v>
      </c>
      <c r="R6" s="13">
        <f>SUMIF(Mercado_Receita!$T$2:$T$174,"44774B1Energia horáriaResidencialResidencialNão se aplicaNão se aplicaFora ponta",Mercado_Receita!$N$2:$N$174)</f>
        <v>0</v>
      </c>
      <c r="S6" s="13">
        <f>SUMIF(Mercado_Receita!$T$2:$T$174,"44805B1Energia horáriaResidencialResidencialNão se aplicaNão se aplicaFora ponta",Mercado_Receita!$N$2:$N$174)</f>
        <v>0</v>
      </c>
      <c r="T6" s="13">
        <f>SUMIF(Mercado_Receita!$T$2:$T$174,"44835B1Energia horáriaResidencialResidencialNão se aplicaNão se aplicaFora ponta",Mercado_Receita!$N$2:$N$174)</f>
        <v>0</v>
      </c>
      <c r="U6" s="13">
        <f t="shared" si="0"/>
        <v>0</v>
      </c>
      <c r="V6" s="13"/>
      <c r="W6" s="13"/>
    </row>
    <row r="7" spans="1:30" ht="11.25" customHeight="1" x14ac:dyDescent="0.25">
      <c r="A7" s="89"/>
      <c r="B7" s="88" t="s">
        <v>75</v>
      </c>
      <c r="C7" s="88" t="s">
        <v>24</v>
      </c>
      <c r="D7" s="12" t="s">
        <v>24</v>
      </c>
      <c r="E7" s="12" t="s">
        <v>25</v>
      </c>
      <c r="F7" s="12" t="s">
        <v>25</v>
      </c>
      <c r="G7" s="13" t="s">
        <v>67</v>
      </c>
      <c r="H7" s="13" t="s">
        <v>60</v>
      </c>
      <c r="I7" s="13">
        <f>SUMIF(Mercado_Receita!$T$2:$T$174,"44501B1Energia convencionalResidencialResidencialNão se aplicaNão se aplicaNão se aplica",Mercado_Receita!$N$2:$N$174)</f>
        <v>267.209</v>
      </c>
      <c r="J7" s="13">
        <f>SUMIF(Mercado_Receita!$T$2:$T$174,"44531B1Energia convencionalResidencialResidencialNão se aplicaNão se aplicaNão se aplica",Mercado_Receita!$N$2:$N$174)</f>
        <v>259.39800000000002</v>
      </c>
      <c r="K7" s="13">
        <f>SUMIF(Mercado_Receita!$T$2:$T$174,"44562B1Energia convencionalResidencialResidencialNão se aplicaNão se aplicaNão se aplica",Mercado_Receita!$N$2:$N$174)</f>
        <v>290.99199999999996</v>
      </c>
      <c r="L7" s="13">
        <f>SUMIF(Mercado_Receita!$T$2:$T$174,"44593B1Energia convencionalResidencialResidencialNão se aplicaNão se aplicaNão se aplica",Mercado_Receita!$N$2:$N$174)</f>
        <v>309.90499999999997</v>
      </c>
      <c r="M7" s="13">
        <f>SUMIF(Mercado_Receita!$T$2:$T$174,"44621B1Energia convencionalResidencialResidencialNão se aplicaNão se aplicaNão se aplica",Mercado_Receita!$N$2:$N$174)</f>
        <v>298.60899999999998</v>
      </c>
      <c r="N7" s="13">
        <f>SUMIF(Mercado_Receita!$T$2:$T$174,"44652B1Energia convencionalResidencialResidencialNão se aplicaNão se aplicaNão se aplica",Mercado_Receita!$N$2:$N$174)</f>
        <v>278.64999999999998</v>
      </c>
      <c r="O7" s="13">
        <f>SUMIF(Mercado_Receita!$T$2:$T$174,"44682B1Energia convencionalResidencialResidencialNão se aplicaNão se aplicaNão se aplica",Mercado_Receita!$N$2:$N$174)</f>
        <v>273.53800000000001</v>
      </c>
      <c r="P7" s="13">
        <f>SUMIF(Mercado_Receita!$T$2:$T$174,"44713B1Energia convencionalResidencialResidencialNão se aplicaNão se aplicaNão se aplica",Mercado_Receita!$N$2:$N$174)</f>
        <v>295.46500000000003</v>
      </c>
      <c r="Q7" s="13">
        <f>SUMIF(Mercado_Receita!$T$2:$T$174,"44743B1Energia convencionalResidencialResidencialNão se aplicaNão se aplicaNão se aplica",Mercado_Receita!$N$2:$N$174)</f>
        <v>293.67199999999997</v>
      </c>
      <c r="R7" s="13">
        <f>SUMIF(Mercado_Receita!$T$2:$T$174,"44774B1Energia convencionalResidencialResidencialNão se aplicaNão se aplicaNão se aplica",Mercado_Receita!$N$2:$N$174)</f>
        <v>289.036</v>
      </c>
      <c r="S7" s="13">
        <f>SUMIF(Mercado_Receita!$T$2:$T$174,"44805B1Energia convencionalResidencialResidencialNão se aplicaNão se aplicaNão se aplica",Mercado_Receita!$N$2:$N$174)</f>
        <v>304.84399999999999</v>
      </c>
      <c r="T7" s="13">
        <f>SUMIF(Mercado_Receita!$T$2:$T$174,"44835B1Energia convencionalResidencialResidencialNão se aplicaNão se aplicaNão se aplica",Mercado_Receita!$N$2:$N$174)</f>
        <v>293.03399999999999</v>
      </c>
      <c r="U7" s="13">
        <f t="shared" si="0"/>
        <v>3454.3520000000003</v>
      </c>
      <c r="V7" s="13"/>
      <c r="W7" s="13"/>
    </row>
    <row r="8" spans="1:30" ht="11.25" customHeight="1" x14ac:dyDescent="0.25">
      <c r="A8" s="89"/>
      <c r="B8" s="89"/>
      <c r="C8" s="89"/>
      <c r="D8" s="12" t="s">
        <v>41</v>
      </c>
      <c r="E8" s="12" t="s">
        <v>25</v>
      </c>
      <c r="F8" s="12" t="s">
        <v>25</v>
      </c>
      <c r="G8" s="13" t="s">
        <v>67</v>
      </c>
      <c r="H8" s="13" t="s">
        <v>60</v>
      </c>
      <c r="I8" s="13">
        <f>SUMIF(Mercado_Receita!$T$2:$T$174,"44501B1Energia convencionalResidencialResidencial baixa renda – faixa 01Não se aplicaNão se aplicaNão se aplica",Mercado_Receita!$N$2:$N$174)</f>
        <v>0</v>
      </c>
      <c r="J8" s="13">
        <f>SUMIF(Mercado_Receita!$T$2:$T$174,"44531B1Energia convencionalResidencialResidencial baixa renda – faixa 01Não se aplicaNão se aplicaNão se aplica",Mercado_Receita!$N$2:$N$174)</f>
        <v>0</v>
      </c>
      <c r="K8" s="13">
        <f>SUMIF(Mercado_Receita!$T$2:$T$174,"44562B1Energia convencionalResidencialResidencial baixa renda – faixa 01Não se aplicaNão se aplicaNão se aplica",Mercado_Receita!$N$2:$N$174)</f>
        <v>0.03</v>
      </c>
      <c r="L8" s="13">
        <f>SUMIF(Mercado_Receita!$T$2:$T$174,"44593B1Energia convencionalResidencialResidencial baixa renda – faixa 01Não se aplicaNão se aplicaNão se aplica",Mercado_Receita!$N$2:$N$174)</f>
        <v>0.03</v>
      </c>
      <c r="M8" s="13">
        <f>SUMIF(Mercado_Receita!$T$2:$T$174,"44621B1Energia convencionalResidencialResidencial baixa renda – faixa 01Não se aplicaNão se aplicaNão se aplica",Mercado_Receita!$N$2:$N$174)</f>
        <v>0.06</v>
      </c>
      <c r="N8" s="13">
        <f>SUMIF(Mercado_Receita!$T$2:$T$174,"44652B1Energia convencionalResidencialResidencial baixa renda – faixa 01Não se aplicaNão se aplicaNão se aplica",Mercado_Receita!$N$2:$N$174)</f>
        <v>0.03</v>
      </c>
      <c r="O8" s="13">
        <f>SUMIF(Mercado_Receita!$T$2:$T$174,"44682B1Energia convencionalResidencialResidencial baixa renda – faixa 01Não se aplicaNão se aplicaNão se aplica",Mercado_Receita!$N$2:$N$174)</f>
        <v>0.03</v>
      </c>
      <c r="P8" s="13">
        <f>SUMIF(Mercado_Receita!$T$2:$T$174,"44713B1Energia convencionalResidencialResidencial baixa renda – faixa 01Não se aplicaNão se aplicaNão se aplica",Mercado_Receita!$N$2:$N$174)</f>
        <v>0.09</v>
      </c>
      <c r="Q8" s="13">
        <f>SUMIF(Mercado_Receita!$T$2:$T$174,"44743B1Energia convencionalResidencialResidencial baixa renda – faixa 01Não se aplicaNão se aplicaNão se aplica",Mercado_Receita!$N$2:$N$174)</f>
        <v>0.12</v>
      </c>
      <c r="R8" s="13">
        <f>SUMIF(Mercado_Receita!$T$2:$T$174,"44774B1Energia convencionalResidencialResidencial baixa renda – faixa 01Não se aplicaNão se aplicaNão se aplica",Mercado_Receita!$N$2:$N$174)</f>
        <v>0.03</v>
      </c>
      <c r="S8" s="13">
        <f>SUMIF(Mercado_Receita!$T$2:$T$174,"44805B1Energia convencionalResidencialResidencial baixa renda – faixa 01Não se aplicaNão se aplicaNão se aplica",Mercado_Receita!$N$2:$N$174)</f>
        <v>0.03</v>
      </c>
      <c r="T8" s="13">
        <f>SUMIF(Mercado_Receita!$T$2:$T$174,"44835B1Energia convencionalResidencialResidencial baixa renda – faixa 01Não se aplicaNão se aplicaNão se aplica",Mercado_Receita!$N$2:$N$174)</f>
        <v>0.03</v>
      </c>
      <c r="U8" s="13">
        <f t="shared" si="0"/>
        <v>0.48000000000000009</v>
      </c>
      <c r="V8" s="13"/>
      <c r="W8" s="13"/>
    </row>
    <row r="9" spans="1:30" ht="11.25" customHeight="1" x14ac:dyDescent="0.25">
      <c r="A9" s="89"/>
      <c r="B9" s="89"/>
      <c r="C9" s="89"/>
      <c r="D9" s="12" t="s">
        <v>42</v>
      </c>
      <c r="E9" s="12" t="s">
        <v>25</v>
      </c>
      <c r="F9" s="12" t="s">
        <v>25</v>
      </c>
      <c r="G9" s="13" t="s">
        <v>67</v>
      </c>
      <c r="H9" s="13" t="s">
        <v>60</v>
      </c>
      <c r="I9" s="13">
        <f>SUMIF(Mercado_Receita!$T$2:$T$174,"44501B1Energia convencionalResidencialResidencial baixa renda – faixa 02Não se aplicaNão se aplicaNão se aplica",Mercado_Receita!$N$2:$N$174)</f>
        <v>0</v>
      </c>
      <c r="J9" s="13">
        <f>SUMIF(Mercado_Receita!$T$2:$T$174,"44531B1Energia convencionalResidencialResidencial baixa renda – faixa 02Não se aplicaNão se aplicaNão se aplica",Mercado_Receita!$N$2:$N$174)</f>
        <v>0</v>
      </c>
      <c r="K9" s="13">
        <f>SUMIF(Mercado_Receita!$T$2:$T$174,"44562B1Energia convencionalResidencialResidencial baixa renda – faixa 02Não se aplicaNão se aplicaNão se aplica",Mercado_Receita!$N$2:$N$174)</f>
        <v>0</v>
      </c>
      <c r="L9" s="13">
        <f>SUMIF(Mercado_Receita!$T$2:$T$174,"44593B1Energia convencionalResidencialResidencial baixa renda – faixa 02Não se aplicaNão se aplicaNão se aplica",Mercado_Receita!$N$2:$N$174)</f>
        <v>8.7999999999999995E-2</v>
      </c>
      <c r="M9" s="13">
        <f>SUMIF(Mercado_Receita!$T$2:$T$174,"44621B1Energia convencionalResidencialResidencial baixa renda – faixa 02Não se aplicaNão se aplicaNão se aplica",Mercado_Receita!$N$2:$N$174)</f>
        <v>0.24</v>
      </c>
      <c r="N9" s="13">
        <f>SUMIF(Mercado_Receita!$T$2:$T$174,"44652B1Energia convencionalResidencialResidencial baixa renda – faixa 02Não se aplicaNão se aplicaNão se aplica",Mercado_Receita!$N$2:$N$174)</f>
        <v>0.81100000000000005</v>
      </c>
      <c r="O9" s="13">
        <f>SUMIF(Mercado_Receita!$T$2:$T$174,"44682B1Energia convencionalResidencialResidencial baixa renda – faixa 02Não se aplicaNão se aplicaNão se aplica",Mercado_Receita!$N$2:$N$174)</f>
        <v>0.97299999999999998</v>
      </c>
      <c r="P9" s="13">
        <f>SUMIF(Mercado_Receita!$T$2:$T$174,"44713B1Energia convencionalResidencialResidencial baixa renda – faixa 02Não se aplicaNão se aplicaNão se aplica",Mercado_Receita!$N$2:$N$174)</f>
        <v>1.0389999999999999</v>
      </c>
      <c r="Q9" s="13">
        <f>SUMIF(Mercado_Receita!$T$2:$T$174,"44743B1Energia convencionalResidencialResidencial baixa renda – faixa 02Não se aplicaNão se aplicaNão se aplica",Mercado_Receita!$N$2:$N$174)</f>
        <v>1.1870000000000001</v>
      </c>
      <c r="R9" s="13">
        <f>SUMIF(Mercado_Receita!$T$2:$T$174,"44774B1Energia convencionalResidencialResidencial baixa renda – faixa 02Não se aplicaNão se aplicaNão se aplica",Mercado_Receita!$N$2:$N$174)</f>
        <v>1.0620000000000001</v>
      </c>
      <c r="S9" s="13">
        <f>SUMIF(Mercado_Receita!$T$2:$T$174,"44805B1Energia convencionalResidencialResidencial baixa renda – faixa 02Não se aplicaNão se aplicaNão se aplica",Mercado_Receita!$N$2:$N$174)</f>
        <v>0.99</v>
      </c>
      <c r="T9" s="13">
        <f>SUMIF(Mercado_Receita!$T$2:$T$174,"44835B1Energia convencionalResidencialResidencial baixa renda – faixa 02Não se aplicaNão se aplicaNão se aplica",Mercado_Receita!$N$2:$N$174)</f>
        <v>0.92300000000000004</v>
      </c>
      <c r="U9" s="13">
        <f t="shared" si="0"/>
        <v>7.3130000000000006</v>
      </c>
      <c r="V9" s="13"/>
      <c r="W9" s="13"/>
    </row>
    <row r="10" spans="1:30" ht="11.25" customHeight="1" x14ac:dyDescent="0.25">
      <c r="A10" s="89"/>
      <c r="B10" s="89"/>
      <c r="C10" s="89"/>
      <c r="D10" s="12" t="s">
        <v>39</v>
      </c>
      <c r="E10" s="12" t="s">
        <v>25</v>
      </c>
      <c r="F10" s="12" t="s">
        <v>25</v>
      </c>
      <c r="G10" s="13" t="s">
        <v>67</v>
      </c>
      <c r="H10" s="13" t="s">
        <v>60</v>
      </c>
      <c r="I10" s="13">
        <f>SUMIF(Mercado_Receita!$T$2:$T$174,"44501B1Energia convencionalResidencialResidencial baixa renda – faixa 03Não se aplicaNão se aplicaNão se aplica",Mercado_Receita!$N$2:$N$174)</f>
        <v>0</v>
      </c>
      <c r="J10" s="13">
        <f>SUMIF(Mercado_Receita!$T$2:$T$174,"44531B1Energia convencionalResidencialResidencial baixa renda – faixa 03Não se aplicaNão se aplicaNão se aplica",Mercado_Receita!$N$2:$N$174)</f>
        <v>0.55300000000000005</v>
      </c>
      <c r="K10" s="13">
        <f>SUMIF(Mercado_Receita!$T$2:$T$174,"44562B1Energia convencionalResidencialResidencial baixa renda – faixa 03Não se aplicaNão se aplicaNão se aplica",Mercado_Receita!$N$2:$N$174)</f>
        <v>0.495</v>
      </c>
      <c r="L10" s="13">
        <f>SUMIF(Mercado_Receita!$T$2:$T$174,"44593B1Energia convencionalResidencialResidencial baixa renda – faixa 03Não se aplicaNão se aplicaNão se aplica",Mercado_Receita!$N$2:$N$174)</f>
        <v>0.49099999999999999</v>
      </c>
      <c r="M10" s="13">
        <f>SUMIF(Mercado_Receita!$T$2:$T$174,"44621B1Energia convencionalResidencialResidencial baixa renda – faixa 03Não se aplicaNão se aplicaNão se aplica",Mercado_Receita!$N$2:$N$174)</f>
        <v>3.1960000000000002</v>
      </c>
      <c r="N10" s="13">
        <f>SUMIF(Mercado_Receita!$T$2:$T$174,"44652B1Energia convencionalResidencialResidencial baixa renda – faixa 03Não se aplicaNão se aplicaNão se aplica",Mercado_Receita!$N$2:$N$174)</f>
        <v>10.061</v>
      </c>
      <c r="O10" s="13">
        <f>SUMIF(Mercado_Receita!$T$2:$T$174,"44682B1Energia convencionalResidencialResidencial baixa renda – faixa 03Não se aplicaNão se aplicaNão se aplica",Mercado_Receita!$N$2:$N$174)</f>
        <v>11.696</v>
      </c>
      <c r="P10" s="13">
        <f>SUMIF(Mercado_Receita!$T$2:$T$174,"44713B1Energia convencionalResidencialResidencial baixa renda – faixa 03Não se aplicaNão se aplicaNão se aplica",Mercado_Receita!$N$2:$N$174)</f>
        <v>10.15</v>
      </c>
      <c r="Q10" s="13">
        <f>SUMIF(Mercado_Receita!$T$2:$T$174,"44743B1Energia convencionalResidencialResidencial baixa renda – faixa 03Não se aplicaNão se aplicaNão se aplica",Mercado_Receita!$N$2:$N$174)</f>
        <v>10.058</v>
      </c>
      <c r="R10" s="13">
        <f>SUMIF(Mercado_Receita!$T$2:$T$174,"44774B1Energia convencionalResidencialResidencial baixa renda – faixa 03Não se aplicaNão se aplicaNão se aplica",Mercado_Receita!$N$2:$N$174)</f>
        <v>9.83</v>
      </c>
      <c r="S10" s="13">
        <f>SUMIF(Mercado_Receita!$T$2:$T$174,"44805B1Energia convencionalResidencialResidencial baixa renda – faixa 03Não se aplicaNão se aplicaNão se aplica",Mercado_Receita!$N$2:$N$174)</f>
        <v>11.214</v>
      </c>
      <c r="T10" s="13">
        <f>SUMIF(Mercado_Receita!$T$2:$T$174,"44835B1Energia convencionalResidencialResidencial baixa renda – faixa 03Não se aplicaNão se aplicaNão se aplica",Mercado_Receita!$N$2:$N$174)</f>
        <v>9.5440000000000005</v>
      </c>
      <c r="U10" s="13">
        <f t="shared" si="0"/>
        <v>77.287999999999997</v>
      </c>
      <c r="V10" s="13"/>
      <c r="W10" s="13"/>
    </row>
    <row r="11" spans="1:30" ht="11.25" customHeight="1" x14ac:dyDescent="0.25">
      <c r="A11" s="89"/>
      <c r="B11" s="89"/>
      <c r="C11" s="89"/>
      <c r="D11" s="12" t="s">
        <v>40</v>
      </c>
      <c r="E11" s="12" t="s">
        <v>25</v>
      </c>
      <c r="F11" s="12" t="s">
        <v>25</v>
      </c>
      <c r="G11" s="13" t="s">
        <v>67</v>
      </c>
      <c r="H11" s="13" t="s">
        <v>60</v>
      </c>
      <c r="I11" s="13">
        <f>SUMIF(Mercado_Receita!$T$2:$T$174,"44501B1Energia convencionalResidencialResidencial baixa renda – faixa 04Não se aplicaNão se aplicaNão se aplica",Mercado_Receita!$N$2:$N$174)</f>
        <v>0</v>
      </c>
      <c r="J11" s="13">
        <f>SUMIF(Mercado_Receita!$T$2:$T$174,"44531B1Energia convencionalResidencialResidencial baixa renda – faixa 04Não se aplicaNão se aplicaNão se aplica",Mercado_Receita!$N$2:$N$174)</f>
        <v>1.401</v>
      </c>
      <c r="K11" s="13">
        <f>SUMIF(Mercado_Receita!$T$2:$T$174,"44562B1Energia convencionalResidencialResidencial baixa renda – faixa 04Não se aplicaNão se aplicaNão se aplica",Mercado_Receita!$N$2:$N$174)</f>
        <v>1.125</v>
      </c>
      <c r="L11" s="13">
        <f>SUMIF(Mercado_Receita!$T$2:$T$174,"44593B1Energia convencionalResidencialResidencial baixa renda – faixa 04Não se aplicaNão se aplicaNão se aplica",Mercado_Receita!$N$2:$N$174)</f>
        <v>1.113</v>
      </c>
      <c r="M11" s="13">
        <f>SUMIF(Mercado_Receita!$T$2:$T$174,"44621B1Energia convencionalResidencialResidencial baixa renda – faixa 04Não se aplicaNão se aplicaNão se aplica",Mercado_Receita!$N$2:$N$174)</f>
        <v>4.9450000000000003</v>
      </c>
      <c r="N11" s="13">
        <f>SUMIF(Mercado_Receita!$T$2:$T$174,"44652B1Energia convencionalResidencialResidencial baixa renda – faixa 04Não se aplicaNão se aplicaNão se aplica",Mercado_Receita!$N$2:$N$174)</f>
        <v>7.3570000000000002</v>
      </c>
      <c r="O11" s="13">
        <f>SUMIF(Mercado_Receita!$T$2:$T$174,"44682B1Energia convencionalResidencialResidencial baixa renda – faixa 04Não se aplicaNão se aplicaNão se aplica",Mercado_Receita!$N$2:$N$174)</f>
        <v>6.5419999999999998</v>
      </c>
      <c r="P11" s="13">
        <f>SUMIF(Mercado_Receita!$T$2:$T$174,"44713B1Energia convencionalResidencialResidencial baixa renda – faixa 04Não se aplicaNão se aplicaNão se aplica",Mercado_Receita!$N$2:$N$174)</f>
        <v>10.398</v>
      </c>
      <c r="Q11" s="13">
        <f>SUMIF(Mercado_Receita!$T$2:$T$174,"44743B1Energia convencionalResidencialResidencial baixa renda – faixa 04Não se aplicaNão se aplicaNão se aplica",Mercado_Receita!$N$2:$N$174)</f>
        <v>12.074999999999999</v>
      </c>
      <c r="R11" s="13">
        <f>SUMIF(Mercado_Receita!$T$2:$T$174,"44774B1Energia convencionalResidencialResidencial baixa renda – faixa 04Não se aplicaNão se aplicaNão se aplica",Mercado_Receita!$N$2:$N$174)</f>
        <v>12.263</v>
      </c>
      <c r="S11" s="13">
        <f>SUMIF(Mercado_Receita!$T$2:$T$174,"44805B1Energia convencionalResidencialResidencial baixa renda – faixa 04Não se aplicaNão se aplicaNão se aplica",Mercado_Receita!$N$2:$N$174)</f>
        <v>10.863</v>
      </c>
      <c r="T11" s="13">
        <f>SUMIF(Mercado_Receita!$T$2:$T$174,"44835B1Energia convencionalResidencialResidencial baixa renda – faixa 04Não se aplicaNão se aplicaNão se aplica",Mercado_Receita!$N$2:$N$174)</f>
        <v>13.429</v>
      </c>
      <c r="U11" s="13">
        <f t="shared" si="0"/>
        <v>81.510999999999996</v>
      </c>
      <c r="V11" s="13"/>
      <c r="W11" s="13"/>
    </row>
    <row r="12" spans="1:30" ht="11.25" customHeight="1" x14ac:dyDescent="0.25">
      <c r="A12" s="89"/>
      <c r="B12" s="88" t="s">
        <v>77</v>
      </c>
      <c r="C12" s="88" t="s">
        <v>24</v>
      </c>
      <c r="D12" s="12" t="s">
        <v>24</v>
      </c>
      <c r="E12" s="12" t="s">
        <v>25</v>
      </c>
      <c r="F12" s="12" t="s">
        <v>25</v>
      </c>
      <c r="G12" s="13" t="s">
        <v>67</v>
      </c>
      <c r="H12" s="13" t="s">
        <v>60</v>
      </c>
      <c r="I12" s="13">
        <f>SUMIF(Mercado_Receita!$T$2:$T$174,"44501B1Energia convencional pré-pagamentoResidencialResidencialNão se aplicaNão se aplicaNão se aplica",Mercado_Receita!$N$2:$N$174)</f>
        <v>0</v>
      </c>
      <c r="J12" s="13">
        <f>SUMIF(Mercado_Receita!$T$2:$T$174,"44531B1Energia convencional pré-pagamentoResidencialResidencialNão se aplicaNão se aplicaNão se aplica",Mercado_Receita!$N$2:$N$174)</f>
        <v>0</v>
      </c>
      <c r="K12" s="13">
        <f>SUMIF(Mercado_Receita!$T$2:$T$174,"44562B1Energia convencional pré-pagamentoResidencialResidencialNão se aplicaNão se aplicaNão se aplica",Mercado_Receita!$N$2:$N$174)</f>
        <v>0</v>
      </c>
      <c r="L12" s="13">
        <f>SUMIF(Mercado_Receita!$T$2:$T$174,"44593B1Energia convencional pré-pagamentoResidencialResidencialNão se aplicaNão se aplicaNão se aplica",Mercado_Receita!$N$2:$N$174)</f>
        <v>0</v>
      </c>
      <c r="M12" s="13">
        <f>SUMIF(Mercado_Receita!$T$2:$T$174,"44621B1Energia convencional pré-pagamentoResidencialResidencialNão se aplicaNão se aplicaNão se aplica",Mercado_Receita!$N$2:$N$174)</f>
        <v>0</v>
      </c>
      <c r="N12" s="13">
        <f>SUMIF(Mercado_Receita!$T$2:$T$174,"44652B1Energia convencional pré-pagamentoResidencialResidencialNão se aplicaNão se aplicaNão se aplica",Mercado_Receita!$N$2:$N$174)</f>
        <v>0</v>
      </c>
      <c r="O12" s="13">
        <f>SUMIF(Mercado_Receita!$T$2:$T$174,"44682B1Energia convencional pré-pagamentoResidencialResidencialNão se aplicaNão se aplicaNão se aplica",Mercado_Receita!$N$2:$N$174)</f>
        <v>0</v>
      </c>
      <c r="P12" s="13">
        <f>SUMIF(Mercado_Receita!$T$2:$T$174,"44713B1Energia convencional pré-pagamentoResidencialResidencialNão se aplicaNão se aplicaNão se aplica",Mercado_Receita!$N$2:$N$174)</f>
        <v>0</v>
      </c>
      <c r="Q12" s="13">
        <f>SUMIF(Mercado_Receita!$T$2:$T$174,"44743B1Energia convencional pré-pagamentoResidencialResidencialNão se aplicaNão se aplicaNão se aplica",Mercado_Receita!$N$2:$N$174)</f>
        <v>0</v>
      </c>
      <c r="R12" s="13">
        <f>SUMIF(Mercado_Receita!$T$2:$T$174,"44774B1Energia convencional pré-pagamentoResidencialResidencialNão se aplicaNão se aplicaNão se aplica",Mercado_Receita!$N$2:$N$174)</f>
        <v>0</v>
      </c>
      <c r="S12" s="13">
        <f>SUMIF(Mercado_Receita!$T$2:$T$174,"44805B1Energia convencional pré-pagamentoResidencialResidencialNão se aplicaNão se aplicaNão se aplica",Mercado_Receita!$N$2:$N$174)</f>
        <v>0</v>
      </c>
      <c r="T12" s="13">
        <f>SUMIF(Mercado_Receita!$T$2:$T$174,"44835B1Energia convencional pré-pagamentoResidencialResidencialNão se aplicaNão se aplicaNão se aplica",Mercado_Receita!$N$2:$N$174)</f>
        <v>0</v>
      </c>
      <c r="U12" s="13">
        <f t="shared" si="0"/>
        <v>0</v>
      </c>
      <c r="V12" s="13"/>
      <c r="W12" s="13"/>
    </row>
    <row r="13" spans="1:30" ht="11.25" customHeight="1" x14ac:dyDescent="0.25">
      <c r="A13" s="89"/>
      <c r="B13" s="89"/>
      <c r="C13" s="89"/>
      <c r="D13" s="12" t="s">
        <v>41</v>
      </c>
      <c r="E13" s="12" t="s">
        <v>25</v>
      </c>
      <c r="F13" s="12" t="s">
        <v>25</v>
      </c>
      <c r="G13" s="13" t="s">
        <v>67</v>
      </c>
      <c r="H13" s="13" t="s">
        <v>60</v>
      </c>
      <c r="I13" s="13">
        <f>SUMIF(Mercado_Receita!$T$2:$T$174,"44501B1Energia convencional pré-pagamentoResidencialResidencial baixa renda – faixa 01Não se aplicaNão se aplicaNão se aplica",Mercado_Receita!$N$2:$N$174)</f>
        <v>0</v>
      </c>
      <c r="J13" s="13">
        <f>SUMIF(Mercado_Receita!$T$2:$T$174,"44531B1Energia convencional pré-pagamentoResidencialResidencial baixa renda – faixa 01Não se aplicaNão se aplicaNão se aplica",Mercado_Receita!$N$2:$N$174)</f>
        <v>0</v>
      </c>
      <c r="K13" s="13">
        <f>SUMIF(Mercado_Receita!$T$2:$T$174,"44562B1Energia convencional pré-pagamentoResidencialResidencial baixa renda – faixa 01Não se aplicaNão se aplicaNão se aplica",Mercado_Receita!$N$2:$N$174)</f>
        <v>0</v>
      </c>
      <c r="L13" s="13">
        <f>SUMIF(Mercado_Receita!$T$2:$T$174,"44593B1Energia convencional pré-pagamentoResidencialResidencial baixa renda – faixa 01Não se aplicaNão se aplicaNão se aplica",Mercado_Receita!$N$2:$N$174)</f>
        <v>0</v>
      </c>
      <c r="M13" s="13">
        <f>SUMIF(Mercado_Receita!$T$2:$T$174,"44621B1Energia convencional pré-pagamentoResidencialResidencial baixa renda – faixa 01Não se aplicaNão se aplicaNão se aplica",Mercado_Receita!$N$2:$N$174)</f>
        <v>0</v>
      </c>
      <c r="N13" s="13">
        <f>SUMIF(Mercado_Receita!$T$2:$T$174,"44652B1Energia convencional pré-pagamentoResidencialResidencial baixa renda – faixa 01Não se aplicaNão se aplicaNão se aplica",Mercado_Receita!$N$2:$N$174)</f>
        <v>0</v>
      </c>
      <c r="O13" s="13">
        <f>SUMIF(Mercado_Receita!$T$2:$T$174,"44682B1Energia convencional pré-pagamentoResidencialResidencial baixa renda – faixa 01Não se aplicaNão se aplicaNão se aplica",Mercado_Receita!$N$2:$N$174)</f>
        <v>0</v>
      </c>
      <c r="P13" s="13">
        <f>SUMIF(Mercado_Receita!$T$2:$T$174,"44713B1Energia convencional pré-pagamentoResidencialResidencial baixa renda – faixa 01Não se aplicaNão se aplicaNão se aplica",Mercado_Receita!$N$2:$N$174)</f>
        <v>0</v>
      </c>
      <c r="Q13" s="13">
        <f>SUMIF(Mercado_Receita!$T$2:$T$174,"44743B1Energia convencional pré-pagamentoResidencialResidencial baixa renda – faixa 01Não se aplicaNão se aplicaNão se aplica",Mercado_Receita!$N$2:$N$174)</f>
        <v>0</v>
      </c>
      <c r="R13" s="13">
        <f>SUMIF(Mercado_Receita!$T$2:$T$174,"44774B1Energia convencional pré-pagamentoResidencialResidencial baixa renda – faixa 01Não se aplicaNão se aplicaNão se aplica",Mercado_Receita!$N$2:$N$174)</f>
        <v>0</v>
      </c>
      <c r="S13" s="13">
        <f>SUMIF(Mercado_Receita!$T$2:$T$174,"44805B1Energia convencional pré-pagamentoResidencialResidencial baixa renda – faixa 01Não se aplicaNão se aplicaNão se aplica",Mercado_Receita!$N$2:$N$174)</f>
        <v>0</v>
      </c>
      <c r="T13" s="13">
        <f>SUMIF(Mercado_Receita!$T$2:$T$174,"44835B1Energia convencional pré-pagamentoResidencialResidencial baixa renda – faixa 01Não se aplicaNão se aplicaNão se aplica",Mercado_Receita!$N$2:$N$174)</f>
        <v>0</v>
      </c>
      <c r="U13" s="13">
        <f t="shared" si="0"/>
        <v>0</v>
      </c>
      <c r="V13" s="13"/>
      <c r="W13" s="13"/>
    </row>
    <row r="14" spans="1:30" ht="11.25" customHeight="1" x14ac:dyDescent="0.25">
      <c r="A14" s="89"/>
      <c r="B14" s="89"/>
      <c r="C14" s="89"/>
      <c r="D14" s="12" t="s">
        <v>42</v>
      </c>
      <c r="E14" s="12" t="s">
        <v>25</v>
      </c>
      <c r="F14" s="12" t="s">
        <v>25</v>
      </c>
      <c r="G14" s="13" t="s">
        <v>67</v>
      </c>
      <c r="H14" s="13" t="s">
        <v>60</v>
      </c>
      <c r="I14" s="13">
        <f>SUMIF(Mercado_Receita!$T$2:$T$174,"44501B1Energia convencional pré-pagamentoResidencialResidencial baixa renda – faixa 02Não se aplicaNão se aplicaNão se aplica",Mercado_Receita!$N$2:$N$174)</f>
        <v>0</v>
      </c>
      <c r="J14" s="13">
        <f>SUMIF(Mercado_Receita!$T$2:$T$174,"44531B1Energia convencional pré-pagamentoResidencialResidencial baixa renda – faixa 02Não se aplicaNão se aplicaNão se aplica",Mercado_Receita!$N$2:$N$174)</f>
        <v>0</v>
      </c>
      <c r="K14" s="13">
        <f>SUMIF(Mercado_Receita!$T$2:$T$174,"44562B1Energia convencional pré-pagamentoResidencialResidencial baixa renda – faixa 02Não se aplicaNão se aplicaNão se aplica",Mercado_Receita!$N$2:$N$174)</f>
        <v>0</v>
      </c>
      <c r="L14" s="13">
        <f>SUMIF(Mercado_Receita!$T$2:$T$174,"44593B1Energia convencional pré-pagamentoResidencialResidencial baixa renda – faixa 02Não se aplicaNão se aplicaNão se aplica",Mercado_Receita!$N$2:$N$174)</f>
        <v>0</v>
      </c>
      <c r="M14" s="13">
        <f>SUMIF(Mercado_Receita!$T$2:$T$174,"44621B1Energia convencional pré-pagamentoResidencialResidencial baixa renda – faixa 02Não se aplicaNão se aplicaNão se aplica",Mercado_Receita!$N$2:$N$174)</f>
        <v>0</v>
      </c>
      <c r="N14" s="13">
        <f>SUMIF(Mercado_Receita!$T$2:$T$174,"44652B1Energia convencional pré-pagamentoResidencialResidencial baixa renda – faixa 02Não se aplicaNão se aplicaNão se aplica",Mercado_Receita!$N$2:$N$174)</f>
        <v>0</v>
      </c>
      <c r="O14" s="13">
        <f>SUMIF(Mercado_Receita!$T$2:$T$174,"44682B1Energia convencional pré-pagamentoResidencialResidencial baixa renda – faixa 02Não se aplicaNão se aplicaNão se aplica",Mercado_Receita!$N$2:$N$174)</f>
        <v>0</v>
      </c>
      <c r="P14" s="13">
        <f>SUMIF(Mercado_Receita!$T$2:$T$174,"44713B1Energia convencional pré-pagamentoResidencialResidencial baixa renda – faixa 02Não se aplicaNão se aplicaNão se aplica",Mercado_Receita!$N$2:$N$174)</f>
        <v>0</v>
      </c>
      <c r="Q14" s="13">
        <f>SUMIF(Mercado_Receita!$T$2:$T$174,"44743B1Energia convencional pré-pagamentoResidencialResidencial baixa renda – faixa 02Não se aplicaNão se aplicaNão se aplica",Mercado_Receita!$N$2:$N$174)</f>
        <v>0</v>
      </c>
      <c r="R14" s="13">
        <f>SUMIF(Mercado_Receita!$T$2:$T$174,"44774B1Energia convencional pré-pagamentoResidencialResidencial baixa renda – faixa 02Não se aplicaNão se aplicaNão se aplica",Mercado_Receita!$N$2:$N$174)</f>
        <v>0</v>
      </c>
      <c r="S14" s="13">
        <f>SUMIF(Mercado_Receita!$T$2:$T$174,"44805B1Energia convencional pré-pagamentoResidencialResidencial baixa renda – faixa 02Não se aplicaNão se aplicaNão se aplica",Mercado_Receita!$N$2:$N$174)</f>
        <v>0</v>
      </c>
      <c r="T14" s="13">
        <f>SUMIF(Mercado_Receita!$T$2:$T$174,"44835B1Energia convencional pré-pagamentoResidencialResidencial baixa renda – faixa 02Não se aplicaNão se aplicaNão se aplica",Mercado_Receita!$N$2:$N$174)</f>
        <v>0</v>
      </c>
      <c r="U14" s="13">
        <f t="shared" si="0"/>
        <v>0</v>
      </c>
      <c r="V14" s="13"/>
      <c r="W14" s="13"/>
    </row>
    <row r="15" spans="1:30" ht="11.25" customHeight="1" x14ac:dyDescent="0.25">
      <c r="A15" s="89"/>
      <c r="B15" s="89"/>
      <c r="C15" s="89"/>
      <c r="D15" s="12" t="s">
        <v>39</v>
      </c>
      <c r="E15" s="12" t="s">
        <v>25</v>
      </c>
      <c r="F15" s="12" t="s">
        <v>25</v>
      </c>
      <c r="G15" s="13" t="s">
        <v>67</v>
      </c>
      <c r="H15" s="13" t="s">
        <v>60</v>
      </c>
      <c r="I15" s="13">
        <f>SUMIF(Mercado_Receita!$T$2:$T$174,"44501B1Energia convencional pré-pagamentoResidencialResidencial baixa renda – faixa 03Não se aplicaNão se aplicaNão se aplica",Mercado_Receita!$N$2:$N$174)</f>
        <v>0</v>
      </c>
      <c r="J15" s="13">
        <f>SUMIF(Mercado_Receita!$T$2:$T$174,"44531B1Energia convencional pré-pagamentoResidencialResidencial baixa renda – faixa 03Não se aplicaNão se aplicaNão se aplica",Mercado_Receita!$N$2:$N$174)</f>
        <v>0</v>
      </c>
      <c r="K15" s="13">
        <f>SUMIF(Mercado_Receita!$T$2:$T$174,"44562B1Energia convencional pré-pagamentoResidencialResidencial baixa renda – faixa 03Não se aplicaNão se aplicaNão se aplica",Mercado_Receita!$N$2:$N$174)</f>
        <v>0</v>
      </c>
      <c r="L15" s="13">
        <f>SUMIF(Mercado_Receita!$T$2:$T$174,"44593B1Energia convencional pré-pagamentoResidencialResidencial baixa renda – faixa 03Não se aplicaNão se aplicaNão se aplica",Mercado_Receita!$N$2:$N$174)</f>
        <v>0</v>
      </c>
      <c r="M15" s="13">
        <f>SUMIF(Mercado_Receita!$T$2:$T$174,"44621B1Energia convencional pré-pagamentoResidencialResidencial baixa renda – faixa 03Não se aplicaNão se aplicaNão se aplica",Mercado_Receita!$N$2:$N$174)</f>
        <v>0</v>
      </c>
      <c r="N15" s="13">
        <f>SUMIF(Mercado_Receita!$T$2:$T$174,"44652B1Energia convencional pré-pagamentoResidencialResidencial baixa renda – faixa 03Não se aplicaNão se aplicaNão se aplica",Mercado_Receita!$N$2:$N$174)</f>
        <v>0</v>
      </c>
      <c r="O15" s="13">
        <f>SUMIF(Mercado_Receita!$T$2:$T$174,"44682B1Energia convencional pré-pagamentoResidencialResidencial baixa renda – faixa 03Não se aplicaNão se aplicaNão se aplica",Mercado_Receita!$N$2:$N$174)</f>
        <v>0</v>
      </c>
      <c r="P15" s="13">
        <f>SUMIF(Mercado_Receita!$T$2:$T$174,"44713B1Energia convencional pré-pagamentoResidencialResidencial baixa renda – faixa 03Não se aplicaNão se aplicaNão se aplica",Mercado_Receita!$N$2:$N$174)</f>
        <v>0</v>
      </c>
      <c r="Q15" s="13">
        <f>SUMIF(Mercado_Receita!$T$2:$T$174,"44743B1Energia convencional pré-pagamentoResidencialResidencial baixa renda – faixa 03Não se aplicaNão se aplicaNão se aplica",Mercado_Receita!$N$2:$N$174)</f>
        <v>0</v>
      </c>
      <c r="R15" s="13">
        <f>SUMIF(Mercado_Receita!$T$2:$T$174,"44774B1Energia convencional pré-pagamentoResidencialResidencial baixa renda – faixa 03Não se aplicaNão se aplicaNão se aplica",Mercado_Receita!$N$2:$N$174)</f>
        <v>0</v>
      </c>
      <c r="S15" s="13">
        <f>SUMIF(Mercado_Receita!$T$2:$T$174,"44805B1Energia convencional pré-pagamentoResidencialResidencial baixa renda – faixa 03Não se aplicaNão se aplicaNão se aplica",Mercado_Receita!$N$2:$N$174)</f>
        <v>0</v>
      </c>
      <c r="T15" s="13">
        <f>SUMIF(Mercado_Receita!$T$2:$T$174,"44835B1Energia convencional pré-pagamentoResidencialResidencial baixa renda – faixa 03Não se aplicaNão se aplicaNão se aplica",Mercado_Receita!$N$2:$N$174)</f>
        <v>0</v>
      </c>
      <c r="U15" s="13">
        <f t="shared" si="0"/>
        <v>0</v>
      </c>
      <c r="V15" s="13"/>
      <c r="W15" s="13"/>
    </row>
    <row r="16" spans="1:30" ht="11.25" customHeight="1" x14ac:dyDescent="0.25">
      <c r="A16" s="89"/>
      <c r="B16" s="89"/>
      <c r="C16" s="89"/>
      <c r="D16" s="12" t="s">
        <v>40</v>
      </c>
      <c r="E16" s="12" t="s">
        <v>25</v>
      </c>
      <c r="F16" s="12" t="s">
        <v>25</v>
      </c>
      <c r="G16" s="13" t="s">
        <v>67</v>
      </c>
      <c r="H16" s="13" t="s">
        <v>60</v>
      </c>
      <c r="I16" s="13">
        <f>SUMIF(Mercado_Receita!$T$2:$T$174,"44501B1Energia convencional pré-pagamentoResidencialResidencial baixa renda – faixa 04Não se aplicaNão se aplicaNão se aplica",Mercado_Receita!$N$2:$N$174)</f>
        <v>0</v>
      </c>
      <c r="J16" s="13">
        <f>SUMIF(Mercado_Receita!$T$2:$T$174,"44531B1Energia convencional pré-pagamentoResidencialResidencial baixa renda – faixa 04Não se aplicaNão se aplicaNão se aplica",Mercado_Receita!$N$2:$N$174)</f>
        <v>0</v>
      </c>
      <c r="K16" s="13">
        <f>SUMIF(Mercado_Receita!$T$2:$T$174,"44562B1Energia convencional pré-pagamentoResidencialResidencial baixa renda – faixa 04Não se aplicaNão se aplicaNão se aplica",Mercado_Receita!$N$2:$N$174)</f>
        <v>0</v>
      </c>
      <c r="L16" s="13">
        <f>SUMIF(Mercado_Receita!$T$2:$T$174,"44593B1Energia convencional pré-pagamentoResidencialResidencial baixa renda – faixa 04Não se aplicaNão se aplicaNão se aplica",Mercado_Receita!$N$2:$N$174)</f>
        <v>0</v>
      </c>
      <c r="M16" s="13">
        <f>SUMIF(Mercado_Receita!$T$2:$T$174,"44621B1Energia convencional pré-pagamentoResidencialResidencial baixa renda – faixa 04Não se aplicaNão se aplicaNão se aplica",Mercado_Receita!$N$2:$N$174)</f>
        <v>0</v>
      </c>
      <c r="N16" s="13">
        <f>SUMIF(Mercado_Receita!$T$2:$T$174,"44652B1Energia convencional pré-pagamentoResidencialResidencial baixa renda – faixa 04Não se aplicaNão se aplicaNão se aplica",Mercado_Receita!$N$2:$N$174)</f>
        <v>0</v>
      </c>
      <c r="O16" s="13">
        <f>SUMIF(Mercado_Receita!$T$2:$T$174,"44682B1Energia convencional pré-pagamentoResidencialResidencial baixa renda – faixa 04Não se aplicaNão se aplicaNão se aplica",Mercado_Receita!$N$2:$N$174)</f>
        <v>0</v>
      </c>
      <c r="P16" s="13">
        <f>SUMIF(Mercado_Receita!$T$2:$T$174,"44713B1Energia convencional pré-pagamentoResidencialResidencial baixa renda – faixa 04Não se aplicaNão se aplicaNão se aplica",Mercado_Receita!$N$2:$N$174)</f>
        <v>0</v>
      </c>
      <c r="Q16" s="13">
        <f>SUMIF(Mercado_Receita!$T$2:$T$174,"44743B1Energia convencional pré-pagamentoResidencialResidencial baixa renda – faixa 04Não se aplicaNão se aplicaNão se aplica",Mercado_Receita!$N$2:$N$174)</f>
        <v>0</v>
      </c>
      <c r="R16" s="13">
        <f>SUMIF(Mercado_Receita!$T$2:$T$174,"44774B1Energia convencional pré-pagamentoResidencialResidencial baixa renda – faixa 04Não se aplicaNão se aplicaNão se aplica",Mercado_Receita!$N$2:$N$174)</f>
        <v>0</v>
      </c>
      <c r="S16" s="13">
        <f>SUMIF(Mercado_Receita!$T$2:$T$174,"44805B1Energia convencional pré-pagamentoResidencialResidencial baixa renda – faixa 04Não se aplicaNão se aplicaNão se aplica",Mercado_Receita!$N$2:$N$174)</f>
        <v>0</v>
      </c>
      <c r="T16" s="13">
        <f>SUMIF(Mercado_Receita!$T$2:$T$174,"44835B1Energia convencional pré-pagamentoResidencialResidencial baixa renda – faixa 04Não se aplicaNão se aplicaNão se aplica",Mercado_Receita!$N$2:$N$174)</f>
        <v>0</v>
      </c>
      <c r="U16" s="13">
        <f t="shared" si="0"/>
        <v>0</v>
      </c>
      <c r="V16" s="13"/>
      <c r="W16" s="13"/>
    </row>
    <row r="17" spans="1:23" ht="11.25" customHeight="1" x14ac:dyDescent="0.25">
      <c r="A17" s="88" t="s">
        <v>31</v>
      </c>
      <c r="B17" s="88" t="s">
        <v>59</v>
      </c>
      <c r="C17" s="88" t="s">
        <v>32</v>
      </c>
      <c r="D17" s="88" t="s">
        <v>25</v>
      </c>
      <c r="E17" s="88" t="s">
        <v>25</v>
      </c>
      <c r="F17" s="88" t="s">
        <v>25</v>
      </c>
      <c r="G17" s="13" t="s">
        <v>61</v>
      </c>
      <c r="H17" s="13" t="s">
        <v>60</v>
      </c>
      <c r="I17" s="13">
        <f>SUMIF(Mercado_Receita!$T$2:$T$174,"44501B2Energia horáriaRuralNão se aplicaNão se aplicaNão se aplicaPonta",Mercado_Receita!$N$2:$N$174)</f>
        <v>0</v>
      </c>
      <c r="J17" s="13">
        <f>SUMIF(Mercado_Receita!$T$2:$T$174,"44531B2Energia horáriaRuralNão se aplicaNão se aplicaNão se aplicaPonta",Mercado_Receita!$N$2:$N$174)</f>
        <v>0</v>
      </c>
      <c r="K17" s="13">
        <f>SUMIF(Mercado_Receita!$T$2:$T$174,"44562B2Energia horáriaRuralNão se aplicaNão se aplicaNão se aplicaPonta",Mercado_Receita!$N$2:$N$174)</f>
        <v>0</v>
      </c>
      <c r="L17" s="13">
        <f>SUMIF(Mercado_Receita!$T$2:$T$174,"44593B2Energia horáriaRuralNão se aplicaNão se aplicaNão se aplicaPonta",Mercado_Receita!$N$2:$N$174)</f>
        <v>0</v>
      </c>
      <c r="M17" s="13">
        <f>SUMIF(Mercado_Receita!$T$2:$T$174,"44621B2Energia horáriaRuralNão se aplicaNão se aplicaNão se aplicaPonta",Mercado_Receita!$N$2:$N$174)</f>
        <v>0</v>
      </c>
      <c r="N17" s="13">
        <f>SUMIF(Mercado_Receita!$T$2:$T$174,"44652B2Energia horáriaRuralNão se aplicaNão se aplicaNão se aplicaPonta",Mercado_Receita!$N$2:$N$174)</f>
        <v>0</v>
      </c>
      <c r="O17" s="13">
        <f>SUMIF(Mercado_Receita!$T$2:$T$174,"44682B2Energia horáriaRuralNão se aplicaNão se aplicaNão se aplicaPonta",Mercado_Receita!$N$2:$N$174)</f>
        <v>0</v>
      </c>
      <c r="P17" s="13">
        <f>SUMIF(Mercado_Receita!$T$2:$T$174,"44713B2Energia horáriaRuralNão se aplicaNão se aplicaNão se aplicaPonta",Mercado_Receita!$N$2:$N$174)</f>
        <v>0</v>
      </c>
      <c r="Q17" s="13">
        <f>SUMIF(Mercado_Receita!$T$2:$T$174,"44743B2Energia horáriaRuralNão se aplicaNão se aplicaNão se aplicaPonta",Mercado_Receita!$N$2:$N$174)</f>
        <v>0</v>
      </c>
      <c r="R17" s="13">
        <f>SUMIF(Mercado_Receita!$T$2:$T$174,"44774B2Energia horáriaRuralNão se aplicaNão se aplicaNão se aplicaPonta",Mercado_Receita!$N$2:$N$174)</f>
        <v>0</v>
      </c>
      <c r="S17" s="13">
        <f>SUMIF(Mercado_Receita!$T$2:$T$174,"44805B2Energia horáriaRuralNão se aplicaNão se aplicaNão se aplicaPonta",Mercado_Receita!$N$2:$N$174)</f>
        <v>0</v>
      </c>
      <c r="T17" s="13">
        <f>SUMIF(Mercado_Receita!$T$2:$T$174,"44835B2Energia horáriaRuralNão se aplicaNão se aplicaNão se aplicaPonta",Mercado_Receita!$N$2:$N$174)</f>
        <v>0</v>
      </c>
      <c r="U17" s="13">
        <f t="shared" si="0"/>
        <v>0</v>
      </c>
      <c r="V17" s="13"/>
      <c r="W17" s="13"/>
    </row>
    <row r="18" spans="1:23" ht="11.25" customHeight="1" x14ac:dyDescent="0.25">
      <c r="A18" s="89"/>
      <c r="B18" s="89"/>
      <c r="C18" s="89"/>
      <c r="D18" s="89"/>
      <c r="E18" s="89"/>
      <c r="F18" s="89"/>
      <c r="G18" s="13" t="s">
        <v>74</v>
      </c>
      <c r="H18" s="13" t="s">
        <v>60</v>
      </c>
      <c r="I18" s="13">
        <f>SUMIF(Mercado_Receita!$T$2:$T$174,"44501B2Energia horáriaRuralNão se aplicaNão se aplicaNão se aplicaIntermediário",Mercado_Receita!$N$2:$N$174)</f>
        <v>0</v>
      </c>
      <c r="J18" s="13">
        <f>SUMIF(Mercado_Receita!$T$2:$T$174,"44531B2Energia horáriaRuralNão se aplicaNão se aplicaNão se aplicaIntermediário",Mercado_Receita!$N$2:$N$174)</f>
        <v>0</v>
      </c>
      <c r="K18" s="13">
        <f>SUMIF(Mercado_Receita!$T$2:$T$174,"44562B2Energia horáriaRuralNão se aplicaNão se aplicaNão se aplicaIntermediário",Mercado_Receita!$N$2:$N$174)</f>
        <v>0</v>
      </c>
      <c r="L18" s="13">
        <f>SUMIF(Mercado_Receita!$T$2:$T$174,"44593B2Energia horáriaRuralNão se aplicaNão se aplicaNão se aplicaIntermediário",Mercado_Receita!$N$2:$N$174)</f>
        <v>0</v>
      </c>
      <c r="M18" s="13">
        <f>SUMIF(Mercado_Receita!$T$2:$T$174,"44621B2Energia horáriaRuralNão se aplicaNão se aplicaNão se aplicaIntermediário",Mercado_Receita!$N$2:$N$174)</f>
        <v>0</v>
      </c>
      <c r="N18" s="13">
        <f>SUMIF(Mercado_Receita!$T$2:$T$174,"44652B2Energia horáriaRuralNão se aplicaNão se aplicaNão se aplicaIntermediário",Mercado_Receita!$N$2:$N$174)</f>
        <v>0</v>
      </c>
      <c r="O18" s="13">
        <f>SUMIF(Mercado_Receita!$T$2:$T$174,"44682B2Energia horáriaRuralNão se aplicaNão se aplicaNão se aplicaIntermediário",Mercado_Receita!$N$2:$N$174)</f>
        <v>0</v>
      </c>
      <c r="P18" s="13">
        <f>SUMIF(Mercado_Receita!$T$2:$T$174,"44713B2Energia horáriaRuralNão se aplicaNão se aplicaNão se aplicaIntermediário",Mercado_Receita!$N$2:$N$174)</f>
        <v>0</v>
      </c>
      <c r="Q18" s="13">
        <f>SUMIF(Mercado_Receita!$T$2:$T$174,"44743B2Energia horáriaRuralNão se aplicaNão se aplicaNão se aplicaIntermediário",Mercado_Receita!$N$2:$N$174)</f>
        <v>0</v>
      </c>
      <c r="R18" s="13">
        <f>SUMIF(Mercado_Receita!$T$2:$T$174,"44774B2Energia horáriaRuralNão se aplicaNão se aplicaNão se aplicaIntermediário",Mercado_Receita!$N$2:$N$174)</f>
        <v>0</v>
      </c>
      <c r="S18" s="13">
        <f>SUMIF(Mercado_Receita!$T$2:$T$174,"44805B2Energia horáriaRuralNão se aplicaNão se aplicaNão se aplicaIntermediário",Mercado_Receita!$N$2:$N$174)</f>
        <v>0</v>
      </c>
      <c r="T18" s="13">
        <f>SUMIF(Mercado_Receita!$T$2:$T$174,"44835B2Energia horáriaRuralNão se aplicaNão se aplicaNão se aplicaIntermediário",Mercado_Receita!$N$2:$N$174)</f>
        <v>0</v>
      </c>
      <c r="U18" s="13">
        <f t="shared" si="0"/>
        <v>0</v>
      </c>
      <c r="V18" s="13"/>
      <c r="W18" s="13"/>
    </row>
    <row r="19" spans="1:23" ht="11.25" customHeight="1" x14ac:dyDescent="0.25">
      <c r="A19" s="89"/>
      <c r="B19" s="89"/>
      <c r="C19" s="89"/>
      <c r="D19" s="89"/>
      <c r="E19" s="89"/>
      <c r="F19" s="89"/>
      <c r="G19" s="13" t="s">
        <v>62</v>
      </c>
      <c r="H19" s="13" t="s">
        <v>60</v>
      </c>
      <c r="I19" s="13">
        <f>SUMIF(Mercado_Receita!$T$2:$T$174,"44501B2Energia horáriaRuralNão se aplicaNão se aplicaNão se aplicaFora ponta",Mercado_Receita!$N$2:$N$174)</f>
        <v>0</v>
      </c>
      <c r="J19" s="13">
        <f>SUMIF(Mercado_Receita!$T$2:$T$174,"44531B2Energia horáriaRuralNão se aplicaNão se aplicaNão se aplicaFora ponta",Mercado_Receita!$N$2:$N$174)</f>
        <v>0</v>
      </c>
      <c r="K19" s="13">
        <f>SUMIF(Mercado_Receita!$T$2:$T$174,"44562B2Energia horáriaRuralNão se aplicaNão se aplicaNão se aplicaFora ponta",Mercado_Receita!$N$2:$N$174)</f>
        <v>0</v>
      </c>
      <c r="L19" s="13">
        <f>SUMIF(Mercado_Receita!$T$2:$T$174,"44593B2Energia horáriaRuralNão se aplicaNão se aplicaNão se aplicaFora ponta",Mercado_Receita!$N$2:$N$174)</f>
        <v>0</v>
      </c>
      <c r="M19" s="13">
        <f>SUMIF(Mercado_Receita!$T$2:$T$174,"44621B2Energia horáriaRuralNão se aplicaNão se aplicaNão se aplicaFora ponta",Mercado_Receita!$N$2:$N$174)</f>
        <v>0</v>
      </c>
      <c r="N19" s="13">
        <f>SUMIF(Mercado_Receita!$T$2:$T$174,"44652B2Energia horáriaRuralNão se aplicaNão se aplicaNão se aplicaFora ponta",Mercado_Receita!$N$2:$N$174)</f>
        <v>0</v>
      </c>
      <c r="O19" s="13">
        <f>SUMIF(Mercado_Receita!$T$2:$T$174,"44682B2Energia horáriaRuralNão se aplicaNão se aplicaNão se aplicaFora ponta",Mercado_Receita!$N$2:$N$174)</f>
        <v>0</v>
      </c>
      <c r="P19" s="13">
        <f>SUMIF(Mercado_Receita!$T$2:$T$174,"44713B2Energia horáriaRuralNão se aplicaNão se aplicaNão se aplicaFora ponta",Mercado_Receita!$N$2:$N$174)</f>
        <v>0</v>
      </c>
      <c r="Q19" s="13">
        <f>SUMIF(Mercado_Receita!$T$2:$T$174,"44743B2Energia horáriaRuralNão se aplicaNão se aplicaNão se aplicaFora ponta",Mercado_Receita!$N$2:$N$174)</f>
        <v>0</v>
      </c>
      <c r="R19" s="13">
        <f>SUMIF(Mercado_Receita!$T$2:$T$174,"44774B2Energia horáriaRuralNão se aplicaNão se aplicaNão se aplicaFora ponta",Mercado_Receita!$N$2:$N$174)</f>
        <v>0</v>
      </c>
      <c r="S19" s="13">
        <f>SUMIF(Mercado_Receita!$T$2:$T$174,"44805B2Energia horáriaRuralNão se aplicaNão se aplicaNão se aplicaFora ponta",Mercado_Receita!$N$2:$N$174)</f>
        <v>0</v>
      </c>
      <c r="T19" s="13">
        <f>SUMIF(Mercado_Receita!$T$2:$T$174,"44835B2Energia horáriaRuralNão se aplicaNão se aplicaNão se aplicaFora ponta",Mercado_Receita!$N$2:$N$174)</f>
        <v>0</v>
      </c>
      <c r="U19" s="13">
        <f t="shared" si="0"/>
        <v>0</v>
      </c>
      <c r="V19" s="13"/>
      <c r="W19" s="13"/>
    </row>
    <row r="20" spans="1:23" ht="11.25" customHeight="1" x14ac:dyDescent="0.25">
      <c r="A20" s="89"/>
      <c r="B20" s="12" t="s">
        <v>75</v>
      </c>
      <c r="C20" s="12" t="s">
        <v>32</v>
      </c>
      <c r="D20" s="12" t="s">
        <v>25</v>
      </c>
      <c r="E20" s="12" t="s">
        <v>25</v>
      </c>
      <c r="F20" s="12" t="s">
        <v>25</v>
      </c>
      <c r="G20" s="13" t="s">
        <v>67</v>
      </c>
      <c r="H20" s="13" t="s">
        <v>60</v>
      </c>
      <c r="I20" s="13">
        <f>SUMIF(Mercado_Receita!$T$2:$T$174,"44501B2Energia convencionalRuralNão se aplicaNão se aplicaNão se aplicaNão se aplica",Mercado_Receita!$N$2:$N$174)</f>
        <v>506.88900000000001</v>
      </c>
      <c r="J20" s="13">
        <f>SUMIF(Mercado_Receita!$T$2:$T$174,"44531B2Energia convencionalRuralNão se aplicaNão se aplicaNão se aplicaNão se aplica",Mercado_Receita!$N$2:$N$174)</f>
        <v>490.726</v>
      </c>
      <c r="K20" s="13">
        <f>SUMIF(Mercado_Receita!$T$2:$T$174,"44562B2Energia convencionalRuralNão se aplicaNão se aplicaNão se aplicaNão se aplica",Mercado_Receita!$N$2:$N$174)</f>
        <v>563.65300000000002</v>
      </c>
      <c r="L20" s="13">
        <f>SUMIF(Mercado_Receita!$T$2:$T$174,"44593B2Energia convencionalRuralNão se aplicaNão se aplicaNão se aplicaNão se aplica",Mercado_Receita!$N$2:$N$174)</f>
        <v>570.89300000000003</v>
      </c>
      <c r="M20" s="13">
        <f>SUMIF(Mercado_Receita!$T$2:$T$174,"44621B2Energia convencionalRuralNão se aplicaNão se aplicaNão se aplicaNão se aplica",Mercado_Receita!$N$2:$N$174)</f>
        <v>559.721</v>
      </c>
      <c r="N20" s="13">
        <f>SUMIF(Mercado_Receita!$T$2:$T$174,"44652B2Energia convencionalRuralNão se aplicaNão se aplicaNão se aplicaNão se aplica",Mercado_Receita!$N$2:$N$174)</f>
        <v>500.29400000000004</v>
      </c>
      <c r="O20" s="13">
        <f>SUMIF(Mercado_Receita!$T$2:$T$174,"44682B2Energia convencionalRuralNão se aplicaNão se aplicaNão se aplicaNão se aplica",Mercado_Receita!$N$2:$N$174)</f>
        <v>468.85699999999997</v>
      </c>
      <c r="P20" s="13">
        <f>SUMIF(Mercado_Receita!$T$2:$T$174,"44713B2Energia convencionalRuralNão se aplicaNão se aplicaNão se aplicaNão se aplica",Mercado_Receita!$N$2:$N$174)</f>
        <v>505.06700000000001</v>
      </c>
      <c r="Q20" s="13">
        <f>SUMIF(Mercado_Receita!$T$2:$T$174,"44743B2Energia convencionalRuralNão se aplicaNão se aplicaNão se aplicaNão se aplica",Mercado_Receita!$N$2:$N$174)</f>
        <v>479.58699999999999</v>
      </c>
      <c r="R20" s="13">
        <f>SUMIF(Mercado_Receita!$T$2:$T$174,"44774B2Energia convencionalRuralNão se aplicaNão se aplicaNão se aplicaNão se aplica",Mercado_Receita!$N$2:$N$174)</f>
        <v>542.07899999999995</v>
      </c>
      <c r="S20" s="13">
        <f>SUMIF(Mercado_Receita!$T$2:$T$174,"44805B2Energia convencionalRuralNão se aplicaNão se aplicaNão se aplicaNão se aplica",Mercado_Receita!$N$2:$N$174)</f>
        <v>490.21100000000001</v>
      </c>
      <c r="T20" s="13">
        <f>SUMIF(Mercado_Receita!$T$2:$T$174,"44835B2Energia convencionalRuralNão se aplicaNão se aplicaNão se aplicaNão se aplica",Mercado_Receita!$N$2:$N$174)</f>
        <v>502.59000000000003</v>
      </c>
      <c r="U20" s="13">
        <f t="shared" si="0"/>
        <v>6180.567</v>
      </c>
      <c r="V20" s="13"/>
      <c r="W20" s="13"/>
    </row>
    <row r="21" spans="1:23" ht="11.25" customHeight="1" x14ac:dyDescent="0.25">
      <c r="A21" s="89"/>
      <c r="B21" s="88" t="s">
        <v>59</v>
      </c>
      <c r="C21" s="88" t="s">
        <v>32</v>
      </c>
      <c r="D21" s="88" t="s">
        <v>79</v>
      </c>
      <c r="E21" s="88" t="s">
        <v>25</v>
      </c>
      <c r="F21" s="88" t="s">
        <v>25</v>
      </c>
      <c r="G21" s="13" t="s">
        <v>61</v>
      </c>
      <c r="H21" s="13" t="s">
        <v>60</v>
      </c>
      <c r="I21" s="13">
        <f>SUMIF(Mercado_Receita!$T$2:$T$174,"44501B2Energia horáriaRuralCooperativa de eletrificação ruralNão se aplicaNão se aplicaPonta",Mercado_Receita!$N$2:$N$174)</f>
        <v>0</v>
      </c>
      <c r="J21" s="13">
        <f>SUMIF(Mercado_Receita!$T$2:$T$174,"44531B2Energia horáriaRuralCooperativa de eletrificação ruralNão se aplicaNão se aplicaPonta",Mercado_Receita!$N$2:$N$174)</f>
        <v>0</v>
      </c>
      <c r="K21" s="13">
        <f>SUMIF(Mercado_Receita!$T$2:$T$174,"44562B2Energia horáriaRuralCooperativa de eletrificação ruralNão se aplicaNão se aplicaPonta",Mercado_Receita!$N$2:$N$174)</f>
        <v>0</v>
      </c>
      <c r="L21" s="13">
        <f>SUMIF(Mercado_Receita!$T$2:$T$174,"44593B2Energia horáriaRuralCooperativa de eletrificação ruralNão se aplicaNão se aplicaPonta",Mercado_Receita!$N$2:$N$174)</f>
        <v>0</v>
      </c>
      <c r="M21" s="13">
        <f>SUMIF(Mercado_Receita!$T$2:$T$174,"44621B2Energia horáriaRuralCooperativa de eletrificação ruralNão se aplicaNão se aplicaPonta",Mercado_Receita!$N$2:$N$174)</f>
        <v>0</v>
      </c>
      <c r="N21" s="13">
        <f>SUMIF(Mercado_Receita!$T$2:$T$174,"44652B2Energia horáriaRuralCooperativa de eletrificação ruralNão se aplicaNão se aplicaPonta",Mercado_Receita!$N$2:$N$174)</f>
        <v>0</v>
      </c>
      <c r="O21" s="13">
        <f>SUMIF(Mercado_Receita!$T$2:$T$174,"44682B2Energia horáriaRuralCooperativa de eletrificação ruralNão se aplicaNão se aplicaPonta",Mercado_Receita!$N$2:$N$174)</f>
        <v>0</v>
      </c>
      <c r="P21" s="13">
        <f>SUMIF(Mercado_Receita!$T$2:$T$174,"44713B2Energia horáriaRuralCooperativa de eletrificação ruralNão se aplicaNão se aplicaPonta",Mercado_Receita!$N$2:$N$174)</f>
        <v>0</v>
      </c>
      <c r="Q21" s="13">
        <f>SUMIF(Mercado_Receita!$T$2:$T$174,"44743B2Energia horáriaRuralCooperativa de eletrificação ruralNão se aplicaNão se aplicaPonta",Mercado_Receita!$N$2:$N$174)</f>
        <v>0</v>
      </c>
      <c r="R21" s="13">
        <f>SUMIF(Mercado_Receita!$T$2:$T$174,"44774B2Energia horáriaRuralCooperativa de eletrificação ruralNão se aplicaNão se aplicaPonta",Mercado_Receita!$N$2:$N$174)</f>
        <v>0</v>
      </c>
      <c r="S21" s="13">
        <f>SUMIF(Mercado_Receita!$T$2:$T$174,"44805B2Energia horáriaRuralCooperativa de eletrificação ruralNão se aplicaNão se aplicaPonta",Mercado_Receita!$N$2:$N$174)</f>
        <v>0</v>
      </c>
      <c r="T21" s="13">
        <f>SUMIF(Mercado_Receita!$T$2:$T$174,"44835B2Energia horáriaRuralCooperativa de eletrificação ruralNão se aplicaNão se aplicaPonta",Mercado_Receita!$N$2:$N$174)</f>
        <v>0</v>
      </c>
      <c r="U21" s="13">
        <f t="shared" si="0"/>
        <v>0</v>
      </c>
      <c r="V21" s="13"/>
      <c r="W21" s="13"/>
    </row>
    <row r="22" spans="1:23" ht="11.25" customHeight="1" x14ac:dyDescent="0.25">
      <c r="A22" s="89"/>
      <c r="B22" s="89"/>
      <c r="C22" s="89"/>
      <c r="D22" s="89"/>
      <c r="E22" s="89"/>
      <c r="F22" s="89"/>
      <c r="G22" s="13" t="s">
        <v>74</v>
      </c>
      <c r="H22" s="13" t="s">
        <v>60</v>
      </c>
      <c r="I22" s="13">
        <f>SUMIF(Mercado_Receita!$T$2:$T$174,"44501B2Energia horáriaRuralCooperativa de eletrificação ruralNão se aplicaNão se aplicaIntermediário",Mercado_Receita!$N$2:$N$174)</f>
        <v>0</v>
      </c>
      <c r="J22" s="13">
        <f>SUMIF(Mercado_Receita!$T$2:$T$174,"44531B2Energia horáriaRuralCooperativa de eletrificação ruralNão se aplicaNão se aplicaIntermediário",Mercado_Receita!$N$2:$N$174)</f>
        <v>0</v>
      </c>
      <c r="K22" s="13">
        <f>SUMIF(Mercado_Receita!$T$2:$T$174,"44562B2Energia horáriaRuralCooperativa de eletrificação ruralNão se aplicaNão se aplicaIntermediário",Mercado_Receita!$N$2:$N$174)</f>
        <v>0</v>
      </c>
      <c r="L22" s="13">
        <f>SUMIF(Mercado_Receita!$T$2:$T$174,"44593B2Energia horáriaRuralCooperativa de eletrificação ruralNão se aplicaNão se aplicaIntermediário",Mercado_Receita!$N$2:$N$174)</f>
        <v>0</v>
      </c>
      <c r="M22" s="13">
        <f>SUMIF(Mercado_Receita!$T$2:$T$174,"44621B2Energia horáriaRuralCooperativa de eletrificação ruralNão se aplicaNão se aplicaIntermediário",Mercado_Receita!$N$2:$N$174)</f>
        <v>0</v>
      </c>
      <c r="N22" s="13">
        <f>SUMIF(Mercado_Receita!$T$2:$T$174,"44652B2Energia horáriaRuralCooperativa de eletrificação ruralNão se aplicaNão se aplicaIntermediário",Mercado_Receita!$N$2:$N$174)</f>
        <v>0</v>
      </c>
      <c r="O22" s="13">
        <f>SUMIF(Mercado_Receita!$T$2:$T$174,"44682B2Energia horáriaRuralCooperativa de eletrificação ruralNão se aplicaNão se aplicaIntermediário",Mercado_Receita!$N$2:$N$174)</f>
        <v>0</v>
      </c>
      <c r="P22" s="13">
        <f>SUMIF(Mercado_Receita!$T$2:$T$174,"44713B2Energia horáriaRuralCooperativa de eletrificação ruralNão se aplicaNão se aplicaIntermediário",Mercado_Receita!$N$2:$N$174)</f>
        <v>0</v>
      </c>
      <c r="Q22" s="13">
        <f>SUMIF(Mercado_Receita!$T$2:$T$174,"44743B2Energia horáriaRuralCooperativa de eletrificação ruralNão se aplicaNão se aplicaIntermediário",Mercado_Receita!$N$2:$N$174)</f>
        <v>0</v>
      </c>
      <c r="R22" s="13">
        <f>SUMIF(Mercado_Receita!$T$2:$T$174,"44774B2Energia horáriaRuralCooperativa de eletrificação ruralNão se aplicaNão se aplicaIntermediário",Mercado_Receita!$N$2:$N$174)</f>
        <v>0</v>
      </c>
      <c r="S22" s="13">
        <f>SUMIF(Mercado_Receita!$T$2:$T$174,"44805B2Energia horáriaRuralCooperativa de eletrificação ruralNão se aplicaNão se aplicaIntermediário",Mercado_Receita!$N$2:$N$174)</f>
        <v>0</v>
      </c>
      <c r="T22" s="13">
        <f>SUMIF(Mercado_Receita!$T$2:$T$174,"44835B2Energia horáriaRuralCooperativa de eletrificação ruralNão se aplicaNão se aplicaIntermediário",Mercado_Receita!$N$2:$N$174)</f>
        <v>0</v>
      </c>
      <c r="U22" s="13">
        <f t="shared" si="0"/>
        <v>0</v>
      </c>
      <c r="V22" s="13"/>
      <c r="W22" s="13"/>
    </row>
    <row r="23" spans="1:23" ht="11.25" customHeight="1" x14ac:dyDescent="0.25">
      <c r="A23" s="89"/>
      <c r="B23" s="89"/>
      <c r="C23" s="89"/>
      <c r="D23" s="89"/>
      <c r="E23" s="89"/>
      <c r="F23" s="89"/>
      <c r="G23" s="13" t="s">
        <v>62</v>
      </c>
      <c r="H23" s="13" t="s">
        <v>60</v>
      </c>
      <c r="I23" s="13">
        <f>SUMIF(Mercado_Receita!$T$2:$T$174,"44501B2Energia horáriaRuralCooperativa de eletrificação ruralNão se aplicaNão se aplicaFora ponta",Mercado_Receita!$N$2:$N$174)</f>
        <v>0</v>
      </c>
      <c r="J23" s="13">
        <f>SUMIF(Mercado_Receita!$T$2:$T$174,"44531B2Energia horáriaRuralCooperativa de eletrificação ruralNão se aplicaNão se aplicaFora ponta",Mercado_Receita!$N$2:$N$174)</f>
        <v>0</v>
      </c>
      <c r="K23" s="13">
        <f>SUMIF(Mercado_Receita!$T$2:$T$174,"44562B2Energia horáriaRuralCooperativa de eletrificação ruralNão se aplicaNão se aplicaFora ponta",Mercado_Receita!$N$2:$N$174)</f>
        <v>0</v>
      </c>
      <c r="L23" s="13">
        <f>SUMIF(Mercado_Receita!$T$2:$T$174,"44593B2Energia horáriaRuralCooperativa de eletrificação ruralNão se aplicaNão se aplicaFora ponta",Mercado_Receita!$N$2:$N$174)</f>
        <v>0</v>
      </c>
      <c r="M23" s="13">
        <f>SUMIF(Mercado_Receita!$T$2:$T$174,"44621B2Energia horáriaRuralCooperativa de eletrificação ruralNão se aplicaNão se aplicaFora ponta",Mercado_Receita!$N$2:$N$174)</f>
        <v>0</v>
      </c>
      <c r="N23" s="13">
        <f>SUMIF(Mercado_Receita!$T$2:$T$174,"44652B2Energia horáriaRuralCooperativa de eletrificação ruralNão se aplicaNão se aplicaFora ponta",Mercado_Receita!$N$2:$N$174)</f>
        <v>0</v>
      </c>
      <c r="O23" s="13">
        <f>SUMIF(Mercado_Receita!$T$2:$T$174,"44682B2Energia horáriaRuralCooperativa de eletrificação ruralNão se aplicaNão se aplicaFora ponta",Mercado_Receita!$N$2:$N$174)</f>
        <v>0</v>
      </c>
      <c r="P23" s="13">
        <f>SUMIF(Mercado_Receita!$T$2:$T$174,"44713B2Energia horáriaRuralCooperativa de eletrificação ruralNão se aplicaNão se aplicaFora ponta",Mercado_Receita!$N$2:$N$174)</f>
        <v>0</v>
      </c>
      <c r="Q23" s="13">
        <f>SUMIF(Mercado_Receita!$T$2:$T$174,"44743B2Energia horáriaRuralCooperativa de eletrificação ruralNão se aplicaNão se aplicaFora ponta",Mercado_Receita!$N$2:$N$174)</f>
        <v>0</v>
      </c>
      <c r="R23" s="13">
        <f>SUMIF(Mercado_Receita!$T$2:$T$174,"44774B2Energia horáriaRuralCooperativa de eletrificação ruralNão se aplicaNão se aplicaFora ponta",Mercado_Receita!$N$2:$N$174)</f>
        <v>0</v>
      </c>
      <c r="S23" s="13">
        <f>SUMIF(Mercado_Receita!$T$2:$T$174,"44805B2Energia horáriaRuralCooperativa de eletrificação ruralNão se aplicaNão se aplicaFora ponta",Mercado_Receita!$N$2:$N$174)</f>
        <v>0</v>
      </c>
      <c r="T23" s="13">
        <f>SUMIF(Mercado_Receita!$T$2:$T$174,"44835B2Energia horáriaRuralCooperativa de eletrificação ruralNão se aplicaNão se aplicaFora ponta",Mercado_Receita!$N$2:$N$174)</f>
        <v>0</v>
      </c>
      <c r="U23" s="13">
        <f t="shared" si="0"/>
        <v>0</v>
      </c>
      <c r="V23" s="13"/>
      <c r="W23" s="13"/>
    </row>
    <row r="24" spans="1:23" ht="11.25" customHeight="1" x14ac:dyDescent="0.25">
      <c r="A24" s="89"/>
      <c r="B24" s="12" t="s">
        <v>75</v>
      </c>
      <c r="C24" s="12" t="s">
        <v>32</v>
      </c>
      <c r="D24" s="12" t="s">
        <v>79</v>
      </c>
      <c r="E24" s="12" t="s">
        <v>25</v>
      </c>
      <c r="F24" s="12" t="s">
        <v>25</v>
      </c>
      <c r="G24" s="13" t="s">
        <v>67</v>
      </c>
      <c r="H24" s="13" t="s">
        <v>60</v>
      </c>
      <c r="I24" s="13">
        <f>SUMIF(Mercado_Receita!$T$2:$T$174,"44501B2Energia convencionalRuralCooperativa de eletrificação ruralNão se aplicaNão se aplicaNão se aplica",Mercado_Receita!$N$2:$N$174)</f>
        <v>0</v>
      </c>
      <c r="J24" s="13">
        <f>SUMIF(Mercado_Receita!$T$2:$T$174,"44531B2Energia convencionalRuralCooperativa de eletrificação ruralNão se aplicaNão se aplicaNão se aplica",Mercado_Receita!$N$2:$N$174)</f>
        <v>0</v>
      </c>
      <c r="K24" s="13">
        <f>SUMIF(Mercado_Receita!$T$2:$T$174,"44562B2Energia convencionalRuralCooperativa de eletrificação ruralNão se aplicaNão se aplicaNão se aplica",Mercado_Receita!$N$2:$N$174)</f>
        <v>0</v>
      </c>
      <c r="L24" s="13">
        <f>SUMIF(Mercado_Receita!$T$2:$T$174,"44593B2Energia convencionalRuralCooperativa de eletrificação ruralNão se aplicaNão se aplicaNão se aplica",Mercado_Receita!$N$2:$N$174)</f>
        <v>0</v>
      </c>
      <c r="M24" s="13">
        <f>SUMIF(Mercado_Receita!$T$2:$T$174,"44621B2Energia convencionalRuralCooperativa de eletrificação ruralNão se aplicaNão se aplicaNão se aplica",Mercado_Receita!$N$2:$N$174)</f>
        <v>0</v>
      </c>
      <c r="N24" s="13">
        <f>SUMIF(Mercado_Receita!$T$2:$T$174,"44652B2Energia convencionalRuralCooperativa de eletrificação ruralNão se aplicaNão se aplicaNão se aplica",Mercado_Receita!$N$2:$N$174)</f>
        <v>0</v>
      </c>
      <c r="O24" s="13">
        <f>SUMIF(Mercado_Receita!$T$2:$T$174,"44682B2Energia convencionalRuralCooperativa de eletrificação ruralNão se aplicaNão se aplicaNão se aplica",Mercado_Receita!$N$2:$N$174)</f>
        <v>0</v>
      </c>
      <c r="P24" s="13">
        <f>SUMIF(Mercado_Receita!$T$2:$T$174,"44713B2Energia convencionalRuralCooperativa de eletrificação ruralNão se aplicaNão se aplicaNão se aplica",Mercado_Receita!$N$2:$N$174)</f>
        <v>0</v>
      </c>
      <c r="Q24" s="13">
        <f>SUMIF(Mercado_Receita!$T$2:$T$174,"44743B2Energia convencionalRuralCooperativa de eletrificação ruralNão se aplicaNão se aplicaNão se aplica",Mercado_Receita!$N$2:$N$174)</f>
        <v>0</v>
      </c>
      <c r="R24" s="13">
        <f>SUMIF(Mercado_Receita!$T$2:$T$174,"44774B2Energia convencionalRuralCooperativa de eletrificação ruralNão se aplicaNão se aplicaNão se aplica",Mercado_Receita!$N$2:$N$174)</f>
        <v>0</v>
      </c>
      <c r="S24" s="13">
        <f>SUMIF(Mercado_Receita!$T$2:$T$174,"44805B2Energia convencionalRuralCooperativa de eletrificação ruralNão se aplicaNão se aplicaNão se aplica",Mercado_Receita!$N$2:$N$174)</f>
        <v>0</v>
      </c>
      <c r="T24" s="13">
        <f>SUMIF(Mercado_Receita!$T$2:$T$174,"44835B2Energia convencionalRuralCooperativa de eletrificação ruralNão se aplicaNão se aplicaNão se aplica",Mercado_Receita!$N$2:$N$174)</f>
        <v>0</v>
      </c>
      <c r="U24" s="13">
        <f t="shared" si="0"/>
        <v>0</v>
      </c>
      <c r="V24" s="13"/>
      <c r="W24" s="13"/>
    </row>
    <row r="25" spans="1:23" ht="11.25" customHeight="1" x14ac:dyDescent="0.25">
      <c r="A25" s="89"/>
      <c r="B25" s="88" t="s">
        <v>59</v>
      </c>
      <c r="C25" s="88" t="s">
        <v>32</v>
      </c>
      <c r="D25" s="88" t="s">
        <v>80</v>
      </c>
      <c r="E25" s="88" t="s">
        <v>25</v>
      </c>
      <c r="F25" s="88" t="s">
        <v>25</v>
      </c>
      <c r="G25" s="13" t="s">
        <v>61</v>
      </c>
      <c r="H25" s="13" t="s">
        <v>60</v>
      </c>
      <c r="I25" s="13">
        <f>SUMIF(Mercado_Receita!$T$2:$T$174,"44501B2Energia horáriaRuralServiço público de irrigação ruralNão se aplicaNão se aplicaPonta",Mercado_Receita!$N$2:$N$174)</f>
        <v>0</v>
      </c>
      <c r="J25" s="13">
        <f>SUMIF(Mercado_Receita!$T$2:$T$174,"44531B2Energia horáriaRuralServiço público de irrigação ruralNão se aplicaNão se aplicaPonta",Mercado_Receita!$N$2:$N$174)</f>
        <v>0</v>
      </c>
      <c r="K25" s="13">
        <f>SUMIF(Mercado_Receita!$T$2:$T$174,"44562B2Energia horáriaRuralServiço público de irrigação ruralNão se aplicaNão se aplicaPonta",Mercado_Receita!$N$2:$N$174)</f>
        <v>0</v>
      </c>
      <c r="L25" s="13">
        <f>SUMIF(Mercado_Receita!$T$2:$T$174,"44593B2Energia horáriaRuralServiço público de irrigação ruralNão se aplicaNão se aplicaPonta",Mercado_Receita!$N$2:$N$174)</f>
        <v>0</v>
      </c>
      <c r="M25" s="13">
        <f>SUMIF(Mercado_Receita!$T$2:$T$174,"44621B2Energia horáriaRuralServiço público de irrigação ruralNão se aplicaNão se aplicaPonta",Mercado_Receita!$N$2:$N$174)</f>
        <v>0</v>
      </c>
      <c r="N25" s="13">
        <f>SUMIF(Mercado_Receita!$T$2:$T$174,"44652B2Energia horáriaRuralServiço público de irrigação ruralNão se aplicaNão se aplicaPonta",Mercado_Receita!$N$2:$N$174)</f>
        <v>0</v>
      </c>
      <c r="O25" s="13">
        <f>SUMIF(Mercado_Receita!$T$2:$T$174,"44682B2Energia horáriaRuralServiço público de irrigação ruralNão se aplicaNão se aplicaPonta",Mercado_Receita!$N$2:$N$174)</f>
        <v>0</v>
      </c>
      <c r="P25" s="13">
        <f>SUMIF(Mercado_Receita!$T$2:$T$174,"44713B2Energia horáriaRuralServiço público de irrigação ruralNão se aplicaNão se aplicaPonta",Mercado_Receita!$N$2:$N$174)</f>
        <v>0</v>
      </c>
      <c r="Q25" s="13">
        <f>SUMIF(Mercado_Receita!$T$2:$T$174,"44743B2Energia horáriaRuralServiço público de irrigação ruralNão se aplicaNão se aplicaPonta",Mercado_Receita!$N$2:$N$174)</f>
        <v>0</v>
      </c>
      <c r="R25" s="13">
        <f>SUMIF(Mercado_Receita!$T$2:$T$174,"44774B2Energia horáriaRuralServiço público de irrigação ruralNão se aplicaNão se aplicaPonta",Mercado_Receita!$N$2:$N$174)</f>
        <v>0</v>
      </c>
      <c r="S25" s="13">
        <f>SUMIF(Mercado_Receita!$T$2:$T$174,"44805B2Energia horáriaRuralServiço público de irrigação ruralNão se aplicaNão se aplicaPonta",Mercado_Receita!$N$2:$N$174)</f>
        <v>0</v>
      </c>
      <c r="T25" s="13">
        <f>SUMIF(Mercado_Receita!$T$2:$T$174,"44835B2Energia horáriaRuralServiço público de irrigação ruralNão se aplicaNão se aplicaPonta",Mercado_Receita!$N$2:$N$174)</f>
        <v>0</v>
      </c>
      <c r="U25" s="13">
        <f t="shared" si="0"/>
        <v>0</v>
      </c>
      <c r="V25" s="13"/>
      <c r="W25" s="13"/>
    </row>
    <row r="26" spans="1:23" ht="11.25" customHeight="1" x14ac:dyDescent="0.25">
      <c r="A26" s="89"/>
      <c r="B26" s="89"/>
      <c r="C26" s="89"/>
      <c r="D26" s="89"/>
      <c r="E26" s="89"/>
      <c r="F26" s="89"/>
      <c r="G26" s="13" t="s">
        <v>74</v>
      </c>
      <c r="H26" s="13" t="s">
        <v>60</v>
      </c>
      <c r="I26" s="13">
        <f>SUMIF(Mercado_Receita!$T$2:$T$174,"44501B2Energia horáriaRuralServiço público de irrigação ruralNão se aplicaNão se aplicaIntermediário",Mercado_Receita!$N$2:$N$174)</f>
        <v>0</v>
      </c>
      <c r="J26" s="13">
        <f>SUMIF(Mercado_Receita!$T$2:$T$174,"44531B2Energia horáriaRuralServiço público de irrigação ruralNão se aplicaNão se aplicaIntermediário",Mercado_Receita!$N$2:$N$174)</f>
        <v>0</v>
      </c>
      <c r="K26" s="13">
        <f>SUMIF(Mercado_Receita!$T$2:$T$174,"44562B2Energia horáriaRuralServiço público de irrigação ruralNão se aplicaNão se aplicaIntermediário",Mercado_Receita!$N$2:$N$174)</f>
        <v>0</v>
      </c>
      <c r="L26" s="13">
        <f>SUMIF(Mercado_Receita!$T$2:$T$174,"44593B2Energia horáriaRuralServiço público de irrigação ruralNão se aplicaNão se aplicaIntermediário",Mercado_Receita!$N$2:$N$174)</f>
        <v>0</v>
      </c>
      <c r="M26" s="13">
        <f>SUMIF(Mercado_Receita!$T$2:$T$174,"44621B2Energia horáriaRuralServiço público de irrigação ruralNão se aplicaNão se aplicaIntermediário",Mercado_Receita!$N$2:$N$174)</f>
        <v>0</v>
      </c>
      <c r="N26" s="13">
        <f>SUMIF(Mercado_Receita!$T$2:$T$174,"44652B2Energia horáriaRuralServiço público de irrigação ruralNão se aplicaNão se aplicaIntermediário",Mercado_Receita!$N$2:$N$174)</f>
        <v>0</v>
      </c>
      <c r="O26" s="13">
        <f>SUMIF(Mercado_Receita!$T$2:$T$174,"44682B2Energia horáriaRuralServiço público de irrigação ruralNão se aplicaNão se aplicaIntermediário",Mercado_Receita!$N$2:$N$174)</f>
        <v>0</v>
      </c>
      <c r="P26" s="13">
        <f>SUMIF(Mercado_Receita!$T$2:$T$174,"44713B2Energia horáriaRuralServiço público de irrigação ruralNão se aplicaNão se aplicaIntermediário",Mercado_Receita!$N$2:$N$174)</f>
        <v>0</v>
      </c>
      <c r="Q26" s="13">
        <f>SUMIF(Mercado_Receita!$T$2:$T$174,"44743B2Energia horáriaRuralServiço público de irrigação ruralNão se aplicaNão se aplicaIntermediário",Mercado_Receita!$N$2:$N$174)</f>
        <v>0</v>
      </c>
      <c r="R26" s="13">
        <f>SUMIF(Mercado_Receita!$T$2:$T$174,"44774B2Energia horáriaRuralServiço público de irrigação ruralNão se aplicaNão se aplicaIntermediário",Mercado_Receita!$N$2:$N$174)</f>
        <v>0</v>
      </c>
      <c r="S26" s="13">
        <f>SUMIF(Mercado_Receita!$T$2:$T$174,"44805B2Energia horáriaRuralServiço público de irrigação ruralNão se aplicaNão se aplicaIntermediário",Mercado_Receita!$N$2:$N$174)</f>
        <v>0</v>
      </c>
      <c r="T26" s="13">
        <f>SUMIF(Mercado_Receita!$T$2:$T$174,"44835B2Energia horáriaRuralServiço público de irrigação ruralNão se aplicaNão se aplicaIntermediário",Mercado_Receita!$N$2:$N$174)</f>
        <v>0</v>
      </c>
      <c r="U26" s="13">
        <f t="shared" si="0"/>
        <v>0</v>
      </c>
      <c r="V26" s="13"/>
      <c r="W26" s="13"/>
    </row>
    <row r="27" spans="1:23" ht="11.25" customHeight="1" x14ac:dyDescent="0.25">
      <c r="A27" s="89"/>
      <c r="B27" s="89"/>
      <c r="C27" s="89"/>
      <c r="D27" s="89"/>
      <c r="E27" s="89"/>
      <c r="F27" s="89"/>
      <c r="G27" s="13" t="s">
        <v>62</v>
      </c>
      <c r="H27" s="13" t="s">
        <v>60</v>
      </c>
      <c r="I27" s="13">
        <f>SUMIF(Mercado_Receita!$T$2:$T$174,"44501B2Energia horáriaRuralServiço público de irrigação ruralNão se aplicaNão se aplicaFora ponta",Mercado_Receita!$N$2:$N$174)</f>
        <v>0</v>
      </c>
      <c r="J27" s="13">
        <f>SUMIF(Mercado_Receita!$T$2:$T$174,"44531B2Energia horáriaRuralServiço público de irrigação ruralNão se aplicaNão se aplicaFora ponta",Mercado_Receita!$N$2:$N$174)</f>
        <v>0</v>
      </c>
      <c r="K27" s="13">
        <f>SUMIF(Mercado_Receita!$T$2:$T$174,"44562B2Energia horáriaRuralServiço público de irrigação ruralNão se aplicaNão se aplicaFora ponta",Mercado_Receita!$N$2:$N$174)</f>
        <v>0</v>
      </c>
      <c r="L27" s="13">
        <f>SUMIF(Mercado_Receita!$T$2:$T$174,"44593B2Energia horáriaRuralServiço público de irrigação ruralNão se aplicaNão se aplicaFora ponta",Mercado_Receita!$N$2:$N$174)</f>
        <v>0</v>
      </c>
      <c r="M27" s="13">
        <f>SUMIF(Mercado_Receita!$T$2:$T$174,"44621B2Energia horáriaRuralServiço público de irrigação ruralNão se aplicaNão se aplicaFora ponta",Mercado_Receita!$N$2:$N$174)</f>
        <v>0</v>
      </c>
      <c r="N27" s="13">
        <f>SUMIF(Mercado_Receita!$T$2:$T$174,"44652B2Energia horáriaRuralServiço público de irrigação ruralNão se aplicaNão se aplicaFora ponta",Mercado_Receita!$N$2:$N$174)</f>
        <v>0</v>
      </c>
      <c r="O27" s="13">
        <f>SUMIF(Mercado_Receita!$T$2:$T$174,"44682B2Energia horáriaRuralServiço público de irrigação ruralNão se aplicaNão se aplicaFora ponta",Mercado_Receita!$N$2:$N$174)</f>
        <v>0</v>
      </c>
      <c r="P27" s="13">
        <f>SUMIF(Mercado_Receita!$T$2:$T$174,"44713B2Energia horáriaRuralServiço público de irrigação ruralNão se aplicaNão se aplicaFora ponta",Mercado_Receita!$N$2:$N$174)</f>
        <v>0</v>
      </c>
      <c r="Q27" s="13">
        <f>SUMIF(Mercado_Receita!$T$2:$T$174,"44743B2Energia horáriaRuralServiço público de irrigação ruralNão se aplicaNão se aplicaFora ponta",Mercado_Receita!$N$2:$N$174)</f>
        <v>0</v>
      </c>
      <c r="R27" s="13">
        <f>SUMIF(Mercado_Receita!$T$2:$T$174,"44774B2Energia horáriaRuralServiço público de irrigação ruralNão se aplicaNão se aplicaFora ponta",Mercado_Receita!$N$2:$N$174)</f>
        <v>0</v>
      </c>
      <c r="S27" s="13">
        <f>SUMIF(Mercado_Receita!$T$2:$T$174,"44805B2Energia horáriaRuralServiço público de irrigação ruralNão se aplicaNão se aplicaFora ponta",Mercado_Receita!$N$2:$N$174)</f>
        <v>0</v>
      </c>
      <c r="T27" s="13">
        <f>SUMIF(Mercado_Receita!$T$2:$T$174,"44835B2Energia horáriaRuralServiço público de irrigação ruralNão se aplicaNão se aplicaFora ponta",Mercado_Receita!$N$2:$N$174)</f>
        <v>0</v>
      </c>
      <c r="U27" s="13">
        <f t="shared" si="0"/>
        <v>0</v>
      </c>
      <c r="V27" s="13"/>
      <c r="W27" s="13"/>
    </row>
    <row r="28" spans="1:23" ht="11.25" customHeight="1" x14ac:dyDescent="0.25">
      <c r="A28" s="89"/>
      <c r="B28" s="12" t="s">
        <v>75</v>
      </c>
      <c r="C28" s="12" t="s">
        <v>32</v>
      </c>
      <c r="D28" s="12" t="s">
        <v>80</v>
      </c>
      <c r="E28" s="12" t="s">
        <v>25</v>
      </c>
      <c r="F28" s="12" t="s">
        <v>25</v>
      </c>
      <c r="G28" s="13" t="s">
        <v>67</v>
      </c>
      <c r="H28" s="13" t="s">
        <v>60</v>
      </c>
      <c r="I28" s="13">
        <f>SUMIF(Mercado_Receita!$T$2:$T$174,"44501B2Energia convencionalRuralServiço público de irrigação ruralNão se aplicaNão se aplicaNão se aplica",Mercado_Receita!$N$2:$N$174)</f>
        <v>0</v>
      </c>
      <c r="J28" s="13">
        <f>SUMIF(Mercado_Receita!$T$2:$T$174,"44531B2Energia convencionalRuralServiço público de irrigação ruralNão se aplicaNão se aplicaNão se aplica",Mercado_Receita!$N$2:$N$174)</f>
        <v>0</v>
      </c>
      <c r="K28" s="13">
        <f>SUMIF(Mercado_Receita!$T$2:$T$174,"44562B2Energia convencionalRuralServiço público de irrigação ruralNão se aplicaNão se aplicaNão se aplica",Mercado_Receita!$N$2:$N$174)</f>
        <v>0</v>
      </c>
      <c r="L28" s="13">
        <f>SUMIF(Mercado_Receita!$T$2:$T$174,"44593B2Energia convencionalRuralServiço público de irrigação ruralNão se aplicaNão se aplicaNão se aplica",Mercado_Receita!$N$2:$N$174)</f>
        <v>0</v>
      </c>
      <c r="M28" s="13">
        <f>SUMIF(Mercado_Receita!$T$2:$T$174,"44621B2Energia convencionalRuralServiço público de irrigação ruralNão se aplicaNão se aplicaNão se aplica",Mercado_Receita!$N$2:$N$174)</f>
        <v>0</v>
      </c>
      <c r="N28" s="13">
        <f>SUMIF(Mercado_Receita!$T$2:$T$174,"44652B2Energia convencionalRuralServiço público de irrigação ruralNão se aplicaNão se aplicaNão se aplica",Mercado_Receita!$N$2:$N$174)</f>
        <v>0</v>
      </c>
      <c r="O28" s="13">
        <f>SUMIF(Mercado_Receita!$T$2:$T$174,"44682B2Energia convencionalRuralServiço público de irrigação ruralNão se aplicaNão se aplicaNão se aplica",Mercado_Receita!$N$2:$N$174)</f>
        <v>0</v>
      </c>
      <c r="P28" s="13">
        <f>SUMIF(Mercado_Receita!$T$2:$T$174,"44713B2Energia convencionalRuralServiço público de irrigação ruralNão se aplicaNão se aplicaNão se aplica",Mercado_Receita!$N$2:$N$174)</f>
        <v>0</v>
      </c>
      <c r="Q28" s="13">
        <f>SUMIF(Mercado_Receita!$T$2:$T$174,"44743B2Energia convencionalRuralServiço público de irrigação ruralNão se aplicaNão se aplicaNão se aplica",Mercado_Receita!$N$2:$N$174)</f>
        <v>0</v>
      </c>
      <c r="R28" s="13">
        <f>SUMIF(Mercado_Receita!$T$2:$T$174,"44774B2Energia convencionalRuralServiço público de irrigação ruralNão se aplicaNão se aplicaNão se aplica",Mercado_Receita!$N$2:$N$174)</f>
        <v>0</v>
      </c>
      <c r="S28" s="13">
        <f>SUMIF(Mercado_Receita!$T$2:$T$174,"44805B2Energia convencionalRuralServiço público de irrigação ruralNão se aplicaNão se aplicaNão se aplica",Mercado_Receita!$N$2:$N$174)</f>
        <v>0</v>
      </c>
      <c r="T28" s="13">
        <f>SUMIF(Mercado_Receita!$T$2:$T$174,"44835B2Energia convencionalRuralServiço público de irrigação ruralNão se aplicaNão se aplicaNão se aplica",Mercado_Receita!$N$2:$N$174)</f>
        <v>0</v>
      </c>
      <c r="U28" s="13">
        <f t="shared" si="0"/>
        <v>0</v>
      </c>
      <c r="V28" s="13"/>
      <c r="W28" s="13"/>
    </row>
    <row r="29" spans="1:23" ht="11.25" customHeight="1" x14ac:dyDescent="0.25">
      <c r="A29" s="89"/>
      <c r="B29" s="88" t="s">
        <v>77</v>
      </c>
      <c r="C29" s="88" t="s">
        <v>32</v>
      </c>
      <c r="D29" s="12" t="s">
        <v>25</v>
      </c>
      <c r="E29" s="12" t="s">
        <v>25</v>
      </c>
      <c r="F29" s="12" t="s">
        <v>25</v>
      </c>
      <c r="G29" s="13" t="s">
        <v>67</v>
      </c>
      <c r="H29" s="13" t="s">
        <v>60</v>
      </c>
      <c r="I29" s="13">
        <f>SUMIF(Mercado_Receita!$T$2:$T$174,"44501B2Energia convencional pré-pagamentoRuralNão se aplicaNão se aplicaNão se aplicaNão se aplica",Mercado_Receita!$N$2:$N$174)</f>
        <v>0</v>
      </c>
      <c r="J29" s="13">
        <f>SUMIF(Mercado_Receita!$T$2:$T$174,"44531B2Energia convencional pré-pagamentoRuralNão se aplicaNão se aplicaNão se aplicaNão se aplica",Mercado_Receita!$N$2:$N$174)</f>
        <v>0</v>
      </c>
      <c r="K29" s="13">
        <f>SUMIF(Mercado_Receita!$T$2:$T$174,"44562B2Energia convencional pré-pagamentoRuralNão se aplicaNão se aplicaNão se aplicaNão se aplica",Mercado_Receita!$N$2:$N$174)</f>
        <v>0</v>
      </c>
      <c r="L29" s="13">
        <f>SUMIF(Mercado_Receita!$T$2:$T$174,"44593B2Energia convencional pré-pagamentoRuralNão se aplicaNão se aplicaNão se aplicaNão se aplica",Mercado_Receita!$N$2:$N$174)</f>
        <v>0</v>
      </c>
      <c r="M29" s="13">
        <f>SUMIF(Mercado_Receita!$T$2:$T$174,"44621B2Energia convencional pré-pagamentoRuralNão se aplicaNão se aplicaNão se aplicaNão se aplica",Mercado_Receita!$N$2:$N$174)</f>
        <v>0</v>
      </c>
      <c r="N29" s="13">
        <f>SUMIF(Mercado_Receita!$T$2:$T$174,"44652B2Energia convencional pré-pagamentoRuralNão se aplicaNão se aplicaNão se aplicaNão se aplica",Mercado_Receita!$N$2:$N$174)</f>
        <v>0</v>
      </c>
      <c r="O29" s="13">
        <f>SUMIF(Mercado_Receita!$T$2:$T$174,"44682B2Energia convencional pré-pagamentoRuralNão se aplicaNão se aplicaNão se aplicaNão se aplica",Mercado_Receita!$N$2:$N$174)</f>
        <v>0</v>
      </c>
      <c r="P29" s="13">
        <f>SUMIF(Mercado_Receita!$T$2:$T$174,"44713B2Energia convencional pré-pagamentoRuralNão se aplicaNão se aplicaNão se aplicaNão se aplica",Mercado_Receita!$N$2:$N$174)</f>
        <v>0</v>
      </c>
      <c r="Q29" s="13">
        <f>SUMIF(Mercado_Receita!$T$2:$T$174,"44743B2Energia convencional pré-pagamentoRuralNão se aplicaNão se aplicaNão se aplicaNão se aplica",Mercado_Receita!$N$2:$N$174)</f>
        <v>0</v>
      </c>
      <c r="R29" s="13">
        <f>SUMIF(Mercado_Receita!$T$2:$T$174,"44774B2Energia convencional pré-pagamentoRuralNão se aplicaNão se aplicaNão se aplicaNão se aplica",Mercado_Receita!$N$2:$N$174)</f>
        <v>0</v>
      </c>
      <c r="S29" s="13">
        <f>SUMIF(Mercado_Receita!$T$2:$T$174,"44805B2Energia convencional pré-pagamentoRuralNão se aplicaNão se aplicaNão se aplicaNão se aplica",Mercado_Receita!$N$2:$N$174)</f>
        <v>0</v>
      </c>
      <c r="T29" s="13">
        <f>SUMIF(Mercado_Receita!$T$2:$T$174,"44835B2Energia convencional pré-pagamentoRuralNão se aplicaNão se aplicaNão se aplicaNão se aplica",Mercado_Receita!$N$2:$N$174)</f>
        <v>0</v>
      </c>
      <c r="U29" s="13">
        <f t="shared" si="0"/>
        <v>0</v>
      </c>
      <c r="V29" s="13"/>
      <c r="W29" s="13"/>
    </row>
    <row r="30" spans="1:23" ht="11.25" customHeight="1" x14ac:dyDescent="0.25">
      <c r="A30" s="89"/>
      <c r="B30" s="89"/>
      <c r="C30" s="89"/>
      <c r="D30" s="12" t="s">
        <v>79</v>
      </c>
      <c r="E30" s="12" t="s">
        <v>25</v>
      </c>
      <c r="F30" s="12" t="s">
        <v>25</v>
      </c>
      <c r="G30" s="13" t="s">
        <v>67</v>
      </c>
      <c r="H30" s="13" t="s">
        <v>60</v>
      </c>
      <c r="I30" s="13">
        <f>SUMIF(Mercado_Receita!$T$2:$T$174,"44501B2Energia convencional pré-pagamentoRuralCooperativa de eletrificação ruralNão se aplicaNão se aplicaNão se aplica",Mercado_Receita!$N$2:$N$174)</f>
        <v>0</v>
      </c>
      <c r="J30" s="13">
        <f>SUMIF(Mercado_Receita!$T$2:$T$174,"44531B2Energia convencional pré-pagamentoRuralCooperativa de eletrificação ruralNão se aplicaNão se aplicaNão se aplica",Mercado_Receita!$N$2:$N$174)</f>
        <v>0</v>
      </c>
      <c r="K30" s="13">
        <f>SUMIF(Mercado_Receita!$T$2:$T$174,"44562B2Energia convencional pré-pagamentoRuralCooperativa de eletrificação ruralNão se aplicaNão se aplicaNão se aplica",Mercado_Receita!$N$2:$N$174)</f>
        <v>0</v>
      </c>
      <c r="L30" s="13">
        <f>SUMIF(Mercado_Receita!$T$2:$T$174,"44593B2Energia convencional pré-pagamentoRuralCooperativa de eletrificação ruralNão se aplicaNão se aplicaNão se aplica",Mercado_Receita!$N$2:$N$174)</f>
        <v>0</v>
      </c>
      <c r="M30" s="13">
        <f>SUMIF(Mercado_Receita!$T$2:$T$174,"44621B2Energia convencional pré-pagamentoRuralCooperativa de eletrificação ruralNão se aplicaNão se aplicaNão se aplica",Mercado_Receita!$N$2:$N$174)</f>
        <v>0</v>
      </c>
      <c r="N30" s="13">
        <f>SUMIF(Mercado_Receita!$T$2:$T$174,"44652B2Energia convencional pré-pagamentoRuralCooperativa de eletrificação ruralNão se aplicaNão se aplicaNão se aplica",Mercado_Receita!$N$2:$N$174)</f>
        <v>0</v>
      </c>
      <c r="O30" s="13">
        <f>SUMIF(Mercado_Receita!$T$2:$T$174,"44682B2Energia convencional pré-pagamentoRuralCooperativa de eletrificação ruralNão se aplicaNão se aplicaNão se aplica",Mercado_Receita!$N$2:$N$174)</f>
        <v>0</v>
      </c>
      <c r="P30" s="13">
        <f>SUMIF(Mercado_Receita!$T$2:$T$174,"44713B2Energia convencional pré-pagamentoRuralCooperativa de eletrificação ruralNão se aplicaNão se aplicaNão se aplica",Mercado_Receita!$N$2:$N$174)</f>
        <v>0</v>
      </c>
      <c r="Q30" s="13">
        <f>SUMIF(Mercado_Receita!$T$2:$T$174,"44743B2Energia convencional pré-pagamentoRuralCooperativa de eletrificação ruralNão se aplicaNão se aplicaNão se aplica",Mercado_Receita!$N$2:$N$174)</f>
        <v>0</v>
      </c>
      <c r="R30" s="13">
        <f>SUMIF(Mercado_Receita!$T$2:$T$174,"44774B2Energia convencional pré-pagamentoRuralCooperativa de eletrificação ruralNão se aplicaNão se aplicaNão se aplica",Mercado_Receita!$N$2:$N$174)</f>
        <v>0</v>
      </c>
      <c r="S30" s="13">
        <f>SUMIF(Mercado_Receita!$T$2:$T$174,"44805B2Energia convencional pré-pagamentoRuralCooperativa de eletrificação ruralNão se aplicaNão se aplicaNão se aplica",Mercado_Receita!$N$2:$N$174)</f>
        <v>0</v>
      </c>
      <c r="T30" s="13">
        <f>SUMIF(Mercado_Receita!$T$2:$T$174,"44835B2Energia convencional pré-pagamentoRuralCooperativa de eletrificação ruralNão se aplicaNão se aplicaNão se aplica",Mercado_Receita!$N$2:$N$174)</f>
        <v>0</v>
      </c>
      <c r="U30" s="13">
        <f t="shared" si="0"/>
        <v>0</v>
      </c>
      <c r="V30" s="13"/>
      <c r="W30" s="13"/>
    </row>
    <row r="31" spans="1:23" ht="11.25" customHeight="1" x14ac:dyDescent="0.25">
      <c r="A31" s="89"/>
      <c r="B31" s="89"/>
      <c r="C31" s="89"/>
      <c r="D31" s="12" t="s">
        <v>80</v>
      </c>
      <c r="E31" s="12" t="s">
        <v>25</v>
      </c>
      <c r="F31" s="12" t="s">
        <v>25</v>
      </c>
      <c r="G31" s="13" t="s">
        <v>67</v>
      </c>
      <c r="H31" s="13" t="s">
        <v>60</v>
      </c>
      <c r="I31" s="13">
        <f>SUMIF(Mercado_Receita!$T$2:$T$174,"44501B2Energia convencional pré-pagamentoRuralServiço público de irrigação ruralNão se aplicaNão se aplicaNão se aplica",Mercado_Receita!$N$2:$N$174)</f>
        <v>0</v>
      </c>
      <c r="J31" s="13">
        <f>SUMIF(Mercado_Receita!$T$2:$T$174,"44531B2Energia convencional pré-pagamentoRuralServiço público de irrigação ruralNão se aplicaNão se aplicaNão se aplica",Mercado_Receita!$N$2:$N$174)</f>
        <v>0</v>
      </c>
      <c r="K31" s="13">
        <f>SUMIF(Mercado_Receita!$T$2:$T$174,"44562B2Energia convencional pré-pagamentoRuralServiço público de irrigação ruralNão se aplicaNão se aplicaNão se aplica",Mercado_Receita!$N$2:$N$174)</f>
        <v>0</v>
      </c>
      <c r="L31" s="13">
        <f>SUMIF(Mercado_Receita!$T$2:$T$174,"44593B2Energia convencional pré-pagamentoRuralServiço público de irrigação ruralNão se aplicaNão se aplicaNão se aplica",Mercado_Receita!$N$2:$N$174)</f>
        <v>0</v>
      </c>
      <c r="M31" s="13">
        <f>SUMIF(Mercado_Receita!$T$2:$T$174,"44621B2Energia convencional pré-pagamentoRuralServiço público de irrigação ruralNão se aplicaNão se aplicaNão se aplica",Mercado_Receita!$N$2:$N$174)</f>
        <v>0</v>
      </c>
      <c r="N31" s="13">
        <f>SUMIF(Mercado_Receita!$T$2:$T$174,"44652B2Energia convencional pré-pagamentoRuralServiço público de irrigação ruralNão se aplicaNão se aplicaNão se aplica",Mercado_Receita!$N$2:$N$174)</f>
        <v>0</v>
      </c>
      <c r="O31" s="13">
        <f>SUMIF(Mercado_Receita!$T$2:$T$174,"44682B2Energia convencional pré-pagamentoRuralServiço público de irrigação ruralNão se aplicaNão se aplicaNão se aplica",Mercado_Receita!$N$2:$N$174)</f>
        <v>0</v>
      </c>
      <c r="P31" s="13">
        <f>SUMIF(Mercado_Receita!$T$2:$T$174,"44713B2Energia convencional pré-pagamentoRuralServiço público de irrigação ruralNão se aplicaNão se aplicaNão se aplica",Mercado_Receita!$N$2:$N$174)</f>
        <v>0</v>
      </c>
      <c r="Q31" s="13">
        <f>SUMIF(Mercado_Receita!$T$2:$T$174,"44743B2Energia convencional pré-pagamentoRuralServiço público de irrigação ruralNão se aplicaNão se aplicaNão se aplica",Mercado_Receita!$N$2:$N$174)</f>
        <v>0</v>
      </c>
      <c r="R31" s="13">
        <f>SUMIF(Mercado_Receita!$T$2:$T$174,"44774B2Energia convencional pré-pagamentoRuralServiço público de irrigação ruralNão se aplicaNão se aplicaNão se aplica",Mercado_Receita!$N$2:$N$174)</f>
        <v>0</v>
      </c>
      <c r="S31" s="13">
        <f>SUMIF(Mercado_Receita!$T$2:$T$174,"44805B2Energia convencional pré-pagamentoRuralServiço público de irrigação ruralNão se aplicaNão se aplicaNão se aplica",Mercado_Receita!$N$2:$N$174)</f>
        <v>0</v>
      </c>
      <c r="T31" s="13">
        <f>SUMIF(Mercado_Receita!$T$2:$T$174,"44835B2Energia convencional pré-pagamentoRuralServiço público de irrigação ruralNão se aplicaNão se aplicaNão se aplica",Mercado_Receita!$N$2:$N$174)</f>
        <v>0</v>
      </c>
      <c r="U31" s="13">
        <f t="shared" si="0"/>
        <v>0</v>
      </c>
      <c r="V31" s="13"/>
      <c r="W31" s="13"/>
    </row>
    <row r="32" spans="1:23" ht="11.25" customHeight="1" x14ac:dyDescent="0.25">
      <c r="A32" s="88" t="s">
        <v>28</v>
      </c>
      <c r="B32" s="88" t="s">
        <v>59</v>
      </c>
      <c r="C32" s="88" t="s">
        <v>25</v>
      </c>
      <c r="D32" s="88" t="s">
        <v>25</v>
      </c>
      <c r="E32" s="88" t="s">
        <v>25</v>
      </c>
      <c r="F32" s="88" t="s">
        <v>25</v>
      </c>
      <c r="G32" s="13" t="s">
        <v>61</v>
      </c>
      <c r="H32" s="13" t="s">
        <v>60</v>
      </c>
      <c r="I32" s="13">
        <f>SUMIF(Mercado_Receita!$T$2:$T$174,"44501B3Energia horáriaNão se aplicaNão se aplicaNão se aplicaNão se aplicaPonta",Mercado_Receita!$N$2:$N$174)</f>
        <v>0</v>
      </c>
      <c r="J32" s="13">
        <f>SUMIF(Mercado_Receita!$T$2:$T$174,"44531B3Energia horáriaNão se aplicaNão se aplicaNão se aplicaNão se aplicaPonta",Mercado_Receita!$N$2:$N$174)</f>
        <v>0</v>
      </c>
      <c r="K32" s="13">
        <f>SUMIF(Mercado_Receita!$T$2:$T$174,"44562B3Energia horáriaNão se aplicaNão se aplicaNão se aplicaNão se aplicaPonta",Mercado_Receita!$N$2:$N$174)</f>
        <v>0</v>
      </c>
      <c r="L32" s="13">
        <f>SUMIF(Mercado_Receita!$T$2:$T$174,"44593B3Energia horáriaNão se aplicaNão se aplicaNão se aplicaNão se aplicaPonta",Mercado_Receita!$N$2:$N$174)</f>
        <v>0</v>
      </c>
      <c r="M32" s="13">
        <f>SUMIF(Mercado_Receita!$T$2:$T$174,"44621B3Energia horáriaNão se aplicaNão se aplicaNão se aplicaNão se aplicaPonta",Mercado_Receita!$N$2:$N$174)</f>
        <v>0</v>
      </c>
      <c r="N32" s="13">
        <f>SUMIF(Mercado_Receita!$T$2:$T$174,"44652B3Energia horáriaNão se aplicaNão se aplicaNão se aplicaNão se aplicaPonta",Mercado_Receita!$N$2:$N$174)</f>
        <v>0</v>
      </c>
      <c r="O32" s="13">
        <f>SUMIF(Mercado_Receita!$T$2:$T$174,"44682B3Energia horáriaNão se aplicaNão se aplicaNão se aplicaNão se aplicaPonta",Mercado_Receita!$N$2:$N$174)</f>
        <v>0</v>
      </c>
      <c r="P32" s="13">
        <f>SUMIF(Mercado_Receita!$T$2:$T$174,"44713B3Energia horáriaNão se aplicaNão se aplicaNão se aplicaNão se aplicaPonta",Mercado_Receita!$N$2:$N$174)</f>
        <v>0</v>
      </c>
      <c r="Q32" s="13">
        <f>SUMIF(Mercado_Receita!$T$2:$T$174,"44743B3Energia horáriaNão se aplicaNão se aplicaNão se aplicaNão se aplicaPonta",Mercado_Receita!$N$2:$N$174)</f>
        <v>0</v>
      </c>
      <c r="R32" s="13">
        <f>SUMIF(Mercado_Receita!$T$2:$T$174,"44774B3Energia horáriaNão se aplicaNão se aplicaNão se aplicaNão se aplicaPonta",Mercado_Receita!$N$2:$N$174)</f>
        <v>0</v>
      </c>
      <c r="S32" s="13">
        <f>SUMIF(Mercado_Receita!$T$2:$T$174,"44805B3Energia horáriaNão se aplicaNão se aplicaNão se aplicaNão se aplicaPonta",Mercado_Receita!$N$2:$N$174)</f>
        <v>0</v>
      </c>
      <c r="T32" s="13">
        <f>SUMIF(Mercado_Receita!$T$2:$T$174,"44835B3Energia horáriaNão se aplicaNão se aplicaNão se aplicaNão se aplicaPonta",Mercado_Receita!$N$2:$N$174)</f>
        <v>0</v>
      </c>
      <c r="U32" s="13">
        <f t="shared" si="0"/>
        <v>0</v>
      </c>
      <c r="V32" s="13"/>
      <c r="W32" s="13"/>
    </row>
    <row r="33" spans="1:23" ht="11.25" customHeight="1" x14ac:dyDescent="0.25">
      <c r="A33" s="89"/>
      <c r="B33" s="89"/>
      <c r="C33" s="89"/>
      <c r="D33" s="89"/>
      <c r="E33" s="89"/>
      <c r="F33" s="89"/>
      <c r="G33" s="13" t="s">
        <v>74</v>
      </c>
      <c r="H33" s="13" t="s">
        <v>60</v>
      </c>
      <c r="I33" s="13">
        <f>SUMIF(Mercado_Receita!$T$2:$T$174,"44501B3Energia horáriaNão se aplicaNão se aplicaNão se aplicaNão se aplicaIntermediário",Mercado_Receita!$N$2:$N$174)</f>
        <v>0</v>
      </c>
      <c r="J33" s="13">
        <f>SUMIF(Mercado_Receita!$T$2:$T$174,"44531B3Energia horáriaNão se aplicaNão se aplicaNão se aplicaNão se aplicaIntermediário",Mercado_Receita!$N$2:$N$174)</f>
        <v>0</v>
      </c>
      <c r="K33" s="13">
        <f>SUMIF(Mercado_Receita!$T$2:$T$174,"44562B3Energia horáriaNão se aplicaNão se aplicaNão se aplicaNão se aplicaIntermediário",Mercado_Receita!$N$2:$N$174)</f>
        <v>0</v>
      </c>
      <c r="L33" s="13">
        <f>SUMIF(Mercado_Receita!$T$2:$T$174,"44593B3Energia horáriaNão se aplicaNão se aplicaNão se aplicaNão se aplicaIntermediário",Mercado_Receita!$N$2:$N$174)</f>
        <v>0</v>
      </c>
      <c r="M33" s="13">
        <f>SUMIF(Mercado_Receita!$T$2:$T$174,"44621B3Energia horáriaNão se aplicaNão se aplicaNão se aplicaNão se aplicaIntermediário",Mercado_Receita!$N$2:$N$174)</f>
        <v>0</v>
      </c>
      <c r="N33" s="13">
        <f>SUMIF(Mercado_Receita!$T$2:$T$174,"44652B3Energia horáriaNão se aplicaNão se aplicaNão se aplicaNão se aplicaIntermediário",Mercado_Receita!$N$2:$N$174)</f>
        <v>0</v>
      </c>
      <c r="O33" s="13">
        <f>SUMIF(Mercado_Receita!$T$2:$T$174,"44682B3Energia horáriaNão se aplicaNão se aplicaNão se aplicaNão se aplicaIntermediário",Mercado_Receita!$N$2:$N$174)</f>
        <v>0</v>
      </c>
      <c r="P33" s="13">
        <f>SUMIF(Mercado_Receita!$T$2:$T$174,"44713B3Energia horáriaNão se aplicaNão se aplicaNão se aplicaNão se aplicaIntermediário",Mercado_Receita!$N$2:$N$174)</f>
        <v>0</v>
      </c>
      <c r="Q33" s="13">
        <f>SUMIF(Mercado_Receita!$T$2:$T$174,"44743B3Energia horáriaNão se aplicaNão se aplicaNão se aplicaNão se aplicaIntermediário",Mercado_Receita!$N$2:$N$174)</f>
        <v>0</v>
      </c>
      <c r="R33" s="13">
        <f>SUMIF(Mercado_Receita!$T$2:$T$174,"44774B3Energia horáriaNão se aplicaNão se aplicaNão se aplicaNão se aplicaIntermediário",Mercado_Receita!$N$2:$N$174)</f>
        <v>0</v>
      </c>
      <c r="S33" s="13">
        <f>SUMIF(Mercado_Receita!$T$2:$T$174,"44805B3Energia horáriaNão se aplicaNão se aplicaNão se aplicaNão se aplicaIntermediário",Mercado_Receita!$N$2:$N$174)</f>
        <v>0</v>
      </c>
      <c r="T33" s="13">
        <f>SUMIF(Mercado_Receita!$T$2:$T$174,"44835B3Energia horáriaNão se aplicaNão se aplicaNão se aplicaNão se aplicaIntermediário",Mercado_Receita!$N$2:$N$174)</f>
        <v>0</v>
      </c>
      <c r="U33" s="13">
        <f t="shared" si="0"/>
        <v>0</v>
      </c>
      <c r="V33" s="13"/>
      <c r="W33" s="13"/>
    </row>
    <row r="34" spans="1:23" ht="11.25" customHeight="1" x14ac:dyDescent="0.25">
      <c r="A34" s="89"/>
      <c r="B34" s="89"/>
      <c r="C34" s="89"/>
      <c r="D34" s="89"/>
      <c r="E34" s="89"/>
      <c r="F34" s="89"/>
      <c r="G34" s="13" t="s">
        <v>62</v>
      </c>
      <c r="H34" s="13" t="s">
        <v>60</v>
      </c>
      <c r="I34" s="13">
        <f>SUMIF(Mercado_Receita!$T$2:$T$174,"44501B3Energia horáriaNão se aplicaNão se aplicaNão se aplicaNão se aplicaFora ponta",Mercado_Receita!$N$2:$N$174)</f>
        <v>0</v>
      </c>
      <c r="J34" s="13">
        <f>SUMIF(Mercado_Receita!$T$2:$T$174,"44531B3Energia horáriaNão se aplicaNão se aplicaNão se aplicaNão se aplicaFora ponta",Mercado_Receita!$N$2:$N$174)</f>
        <v>0</v>
      </c>
      <c r="K34" s="13">
        <f>SUMIF(Mercado_Receita!$T$2:$T$174,"44562B3Energia horáriaNão se aplicaNão se aplicaNão se aplicaNão se aplicaFora ponta",Mercado_Receita!$N$2:$N$174)</f>
        <v>0</v>
      </c>
      <c r="L34" s="13">
        <f>SUMIF(Mercado_Receita!$T$2:$T$174,"44593B3Energia horáriaNão se aplicaNão se aplicaNão se aplicaNão se aplicaFora ponta",Mercado_Receita!$N$2:$N$174)</f>
        <v>0</v>
      </c>
      <c r="M34" s="13">
        <f>SUMIF(Mercado_Receita!$T$2:$T$174,"44621B3Energia horáriaNão se aplicaNão se aplicaNão se aplicaNão se aplicaFora ponta",Mercado_Receita!$N$2:$N$174)</f>
        <v>0</v>
      </c>
      <c r="N34" s="13">
        <f>SUMIF(Mercado_Receita!$T$2:$T$174,"44652B3Energia horáriaNão se aplicaNão se aplicaNão se aplicaNão se aplicaFora ponta",Mercado_Receita!$N$2:$N$174)</f>
        <v>0</v>
      </c>
      <c r="O34" s="13">
        <f>SUMIF(Mercado_Receita!$T$2:$T$174,"44682B3Energia horáriaNão se aplicaNão se aplicaNão se aplicaNão se aplicaFora ponta",Mercado_Receita!$N$2:$N$174)</f>
        <v>0</v>
      </c>
      <c r="P34" s="13">
        <f>SUMIF(Mercado_Receita!$T$2:$T$174,"44713B3Energia horáriaNão se aplicaNão se aplicaNão se aplicaNão se aplicaFora ponta",Mercado_Receita!$N$2:$N$174)</f>
        <v>0</v>
      </c>
      <c r="Q34" s="13">
        <f>SUMIF(Mercado_Receita!$T$2:$T$174,"44743B3Energia horáriaNão se aplicaNão se aplicaNão se aplicaNão se aplicaFora ponta",Mercado_Receita!$N$2:$N$174)</f>
        <v>0</v>
      </c>
      <c r="R34" s="13">
        <f>SUMIF(Mercado_Receita!$T$2:$T$174,"44774B3Energia horáriaNão se aplicaNão se aplicaNão se aplicaNão se aplicaFora ponta",Mercado_Receita!$N$2:$N$174)</f>
        <v>0</v>
      </c>
      <c r="S34" s="13">
        <f>SUMIF(Mercado_Receita!$T$2:$T$174,"44805B3Energia horáriaNão se aplicaNão se aplicaNão se aplicaNão se aplicaFora ponta",Mercado_Receita!$N$2:$N$174)</f>
        <v>0</v>
      </c>
      <c r="T34" s="13">
        <f>SUMIF(Mercado_Receita!$T$2:$T$174,"44835B3Energia horáriaNão se aplicaNão se aplicaNão se aplicaNão se aplicaFora ponta",Mercado_Receita!$N$2:$N$174)</f>
        <v>0</v>
      </c>
      <c r="U34" s="13">
        <f t="shared" si="0"/>
        <v>0</v>
      </c>
      <c r="V34" s="13"/>
      <c r="W34" s="13"/>
    </row>
    <row r="35" spans="1:23" ht="11.25" customHeight="1" x14ac:dyDescent="0.25">
      <c r="A35" s="89"/>
      <c r="B35" s="12" t="s">
        <v>75</v>
      </c>
      <c r="C35" s="12" t="s">
        <v>25</v>
      </c>
      <c r="D35" s="12" t="s">
        <v>25</v>
      </c>
      <c r="E35" s="12" t="s">
        <v>25</v>
      </c>
      <c r="F35" s="12" t="s">
        <v>25</v>
      </c>
      <c r="G35" s="13" t="s">
        <v>67</v>
      </c>
      <c r="H35" s="13" t="s">
        <v>60</v>
      </c>
      <c r="I35" s="13">
        <f>SUMIF(Mercado_Receita!$T$2:$T$174,"44501B3Energia convencionalNão se aplicaNão se aplicaNão se aplicaNão se aplicaNão se aplica",Mercado_Receita!$N$2:$N$174)</f>
        <v>264.89499999999998</v>
      </c>
      <c r="J35" s="13">
        <f>SUMIF(Mercado_Receita!$T$2:$T$174,"44531B3Energia convencionalNão se aplicaNão se aplicaNão se aplicaNão se aplicaNão se aplica",Mercado_Receita!$N$2:$N$174)</f>
        <v>273.68399999999997</v>
      </c>
      <c r="K35" s="13">
        <f>SUMIF(Mercado_Receita!$T$2:$T$174,"44562B3Energia convencionalNão se aplicaNão se aplicaNão se aplicaNão se aplicaNão se aplica",Mercado_Receita!$N$2:$N$174)</f>
        <v>252.53200000000001</v>
      </c>
      <c r="L35" s="13">
        <f>SUMIF(Mercado_Receita!$T$2:$T$174,"44593B3Energia convencionalNão se aplicaNão se aplicaNão se aplicaNão se aplicaNão se aplica",Mercado_Receita!$N$2:$N$174)</f>
        <v>277.22000000000003</v>
      </c>
      <c r="M35" s="13">
        <f>SUMIF(Mercado_Receita!$T$2:$T$174,"44621B3Energia convencionalNão se aplicaNão se aplicaNão se aplicaNão se aplicaNão se aplica",Mercado_Receita!$N$2:$N$174)</f>
        <v>286.20499999999998</v>
      </c>
      <c r="N35" s="13">
        <f>SUMIF(Mercado_Receita!$T$2:$T$174,"44652B3Energia convencionalNão se aplicaNão se aplicaNão se aplicaNão se aplicaNão se aplica",Mercado_Receita!$N$2:$N$174)</f>
        <v>277.10500000000002</v>
      </c>
      <c r="O35" s="13">
        <f>SUMIF(Mercado_Receita!$T$2:$T$174,"44682B3Energia convencionalNão se aplicaNão se aplicaNão se aplicaNão se aplicaNão se aplica",Mercado_Receita!$N$2:$N$174)</f>
        <v>274.02299999999997</v>
      </c>
      <c r="P35" s="13">
        <f>SUMIF(Mercado_Receita!$T$2:$T$174,"44713B3Energia convencionalNão se aplicaNão se aplicaNão se aplicaNão se aplicaNão se aplica",Mercado_Receita!$N$2:$N$174)</f>
        <v>272.64</v>
      </c>
      <c r="Q35" s="13">
        <f>SUMIF(Mercado_Receita!$T$2:$T$174,"44743B3Energia convencionalNão se aplicaNão se aplicaNão se aplicaNão se aplicaNão se aplica",Mercado_Receita!$N$2:$N$174)</f>
        <v>266.60300000000007</v>
      </c>
      <c r="R35" s="13">
        <f>SUMIF(Mercado_Receita!$T$2:$T$174,"44774B3Energia convencionalNão se aplicaNão se aplicaNão se aplicaNão se aplicaNão se aplica",Mercado_Receita!$N$2:$N$174)</f>
        <v>273.85700000000003</v>
      </c>
      <c r="S35" s="13">
        <f>SUMIF(Mercado_Receita!$T$2:$T$174,"44805B3Energia convencionalNão se aplicaNão se aplicaNão se aplicaNão se aplicaNão se aplica",Mercado_Receita!$N$2:$N$174)</f>
        <v>266.21600000000001</v>
      </c>
      <c r="T35" s="13">
        <f>SUMIF(Mercado_Receita!$T$2:$T$174,"44835B3Energia convencionalNão se aplicaNão se aplicaNão se aplicaNão se aplicaNão se aplica",Mercado_Receita!$N$2:$N$174)</f>
        <v>316.45100000000008</v>
      </c>
      <c r="U35" s="13">
        <f t="shared" si="0"/>
        <v>3301.431</v>
      </c>
      <c r="V35" s="13"/>
      <c r="W35" s="13"/>
    </row>
    <row r="36" spans="1:23" ht="11.25" customHeight="1" x14ac:dyDescent="0.25">
      <c r="A36" s="89"/>
      <c r="B36" s="12" t="s">
        <v>77</v>
      </c>
      <c r="C36" s="12" t="s">
        <v>25</v>
      </c>
      <c r="D36" s="12" t="s">
        <v>25</v>
      </c>
      <c r="E36" s="12" t="s">
        <v>25</v>
      </c>
      <c r="F36" s="12" t="s">
        <v>25</v>
      </c>
      <c r="G36" s="13" t="s">
        <v>67</v>
      </c>
      <c r="H36" s="13" t="s">
        <v>60</v>
      </c>
      <c r="I36" s="13">
        <f>SUMIF(Mercado_Receita!$T$2:$T$174,"44501B3Energia convencional pré-pagamentoNão se aplicaNão se aplicaNão se aplicaNão se aplicaNão se aplica",Mercado_Receita!$N$2:$N$174)</f>
        <v>0</v>
      </c>
      <c r="J36" s="13">
        <f>SUMIF(Mercado_Receita!$T$2:$T$174,"44531B3Energia convencional pré-pagamentoNão se aplicaNão se aplicaNão se aplicaNão se aplicaNão se aplica",Mercado_Receita!$N$2:$N$174)</f>
        <v>0</v>
      </c>
      <c r="K36" s="13">
        <f>SUMIF(Mercado_Receita!$T$2:$T$174,"44562B3Energia convencional pré-pagamentoNão se aplicaNão se aplicaNão se aplicaNão se aplicaNão se aplica",Mercado_Receita!$N$2:$N$174)</f>
        <v>0</v>
      </c>
      <c r="L36" s="13">
        <f>SUMIF(Mercado_Receita!$T$2:$T$174,"44593B3Energia convencional pré-pagamentoNão se aplicaNão se aplicaNão se aplicaNão se aplicaNão se aplica",Mercado_Receita!$N$2:$N$174)</f>
        <v>0</v>
      </c>
      <c r="M36" s="13">
        <f>SUMIF(Mercado_Receita!$T$2:$T$174,"44621B3Energia convencional pré-pagamentoNão se aplicaNão se aplicaNão se aplicaNão se aplicaNão se aplica",Mercado_Receita!$N$2:$N$174)</f>
        <v>0</v>
      </c>
      <c r="N36" s="13">
        <f>SUMIF(Mercado_Receita!$T$2:$T$174,"44652B3Energia convencional pré-pagamentoNão se aplicaNão se aplicaNão se aplicaNão se aplicaNão se aplica",Mercado_Receita!$N$2:$N$174)</f>
        <v>0</v>
      </c>
      <c r="O36" s="13">
        <f>SUMIF(Mercado_Receita!$T$2:$T$174,"44682B3Energia convencional pré-pagamentoNão se aplicaNão se aplicaNão se aplicaNão se aplicaNão se aplica",Mercado_Receita!$N$2:$N$174)</f>
        <v>0</v>
      </c>
      <c r="P36" s="13">
        <f>SUMIF(Mercado_Receita!$T$2:$T$174,"44713B3Energia convencional pré-pagamentoNão se aplicaNão se aplicaNão se aplicaNão se aplicaNão se aplica",Mercado_Receita!$N$2:$N$174)</f>
        <v>0</v>
      </c>
      <c r="Q36" s="13">
        <f>SUMIF(Mercado_Receita!$T$2:$T$174,"44743B3Energia convencional pré-pagamentoNão se aplicaNão se aplicaNão se aplicaNão se aplicaNão se aplica",Mercado_Receita!$N$2:$N$174)</f>
        <v>0</v>
      </c>
      <c r="R36" s="13">
        <f>SUMIF(Mercado_Receita!$T$2:$T$174,"44774B3Energia convencional pré-pagamentoNão se aplicaNão se aplicaNão se aplicaNão se aplicaNão se aplica",Mercado_Receita!$N$2:$N$174)</f>
        <v>0</v>
      </c>
      <c r="S36" s="13">
        <f>SUMIF(Mercado_Receita!$T$2:$T$174,"44805B3Energia convencional pré-pagamentoNão se aplicaNão se aplicaNão se aplicaNão se aplicaNão se aplica",Mercado_Receita!$N$2:$N$174)</f>
        <v>0</v>
      </c>
      <c r="T36" s="13">
        <f>SUMIF(Mercado_Receita!$T$2:$T$174,"44835B3Energia convencional pré-pagamentoNão se aplicaNão se aplicaNão se aplicaNão se aplicaNão se aplica",Mercado_Receita!$N$2:$N$174)</f>
        <v>0</v>
      </c>
      <c r="U36" s="13">
        <f t="shared" si="0"/>
        <v>0</v>
      </c>
      <c r="V36" s="13"/>
      <c r="W36" s="13"/>
    </row>
    <row r="37" spans="1:23" ht="11.25" customHeight="1" x14ac:dyDescent="0.25">
      <c r="A37" s="88" t="s">
        <v>34</v>
      </c>
      <c r="B37" s="88" t="s">
        <v>75</v>
      </c>
      <c r="C37" s="88" t="s">
        <v>35</v>
      </c>
      <c r="D37" s="12" t="s">
        <v>36</v>
      </c>
      <c r="E37" s="12" t="s">
        <v>25</v>
      </c>
      <c r="F37" s="12" t="s">
        <v>25</v>
      </c>
      <c r="G37" s="13" t="s">
        <v>67</v>
      </c>
      <c r="H37" s="13" t="s">
        <v>60</v>
      </c>
      <c r="I37" s="13">
        <f>SUMIF(Mercado_Receita!$T$2:$T$174,"44501B4Energia convencionalIluminação públicaIluminação pública – B4aNão se aplicaNão se aplicaNão se aplica",Mercado_Receita!$N$2:$N$174)</f>
        <v>18.512</v>
      </c>
      <c r="J37" s="13">
        <f>SUMIF(Mercado_Receita!$T$2:$T$174,"44531B4Energia convencionalIluminação públicaIluminação pública – B4aNão se aplicaNão se aplicaNão se aplica",Mercado_Receita!$N$2:$N$174)</f>
        <v>19.411000000000001</v>
      </c>
      <c r="K37" s="13">
        <f>SUMIF(Mercado_Receita!$T$2:$T$174,"44562B4Energia convencionalIluminação públicaIluminação pública – B4aNão se aplicaNão se aplicaNão se aplica",Mercado_Receita!$N$2:$N$174)</f>
        <v>19.318999999999999</v>
      </c>
      <c r="L37" s="13">
        <f>SUMIF(Mercado_Receita!$T$2:$T$174,"44593B4Energia convencionalIluminação públicaIluminação pública – B4aNão se aplicaNão se aplicaNão se aplica",Mercado_Receita!$N$2:$N$174)</f>
        <v>18.029</v>
      </c>
      <c r="M37" s="13">
        <f>SUMIF(Mercado_Receita!$T$2:$T$174,"44621B4Energia convencionalIluminação públicaIluminação pública – B4aNão se aplicaNão se aplicaNão se aplica",Mercado_Receita!$N$2:$N$174)</f>
        <v>19.922999999999998</v>
      </c>
      <c r="N37" s="13">
        <f>SUMIF(Mercado_Receita!$T$2:$T$174,"44652B4Energia convencionalIluminação públicaIluminação pública – B4aNão se aplicaNão se aplicaNão se aplica",Mercado_Receita!$N$2:$N$174)</f>
        <v>23.013000000000002</v>
      </c>
      <c r="O37" s="13">
        <f>SUMIF(Mercado_Receita!$T$2:$T$174,"44682B4Energia convencionalIluminação públicaIluminação pública – B4aNão se aplicaNão se aplicaNão se aplica",Mercado_Receita!$N$2:$N$174)</f>
        <v>23.071000000000002</v>
      </c>
      <c r="P37" s="13">
        <f>SUMIF(Mercado_Receita!$T$2:$T$174,"44713B4Energia convencionalIluminação públicaIluminação pública – B4aNão se aplicaNão se aplicaNão se aplica",Mercado_Receita!$N$2:$N$174)</f>
        <v>28.919</v>
      </c>
      <c r="Q37" s="13">
        <f>SUMIF(Mercado_Receita!$T$2:$T$174,"44743B4Energia convencionalIluminação públicaIluminação pública – B4aNão se aplicaNão se aplicaNão se aplica",Mercado_Receita!$N$2:$N$174)</f>
        <v>27.431999999999999</v>
      </c>
      <c r="R37" s="13">
        <f>SUMIF(Mercado_Receita!$T$2:$T$174,"44774B4Energia convencionalIluminação públicaIluminação pública – B4aNão se aplicaNão se aplicaNão se aplica",Mercado_Receita!$N$2:$N$174)</f>
        <v>27.561</v>
      </c>
      <c r="S37" s="13">
        <f>SUMIF(Mercado_Receita!$T$2:$T$174,"44805B4Energia convencionalIluminação públicaIluminação pública – B4aNão se aplicaNão se aplicaNão se aplica",Mercado_Receita!$N$2:$N$174)</f>
        <v>25.364000000000001</v>
      </c>
      <c r="T37" s="13">
        <f>SUMIF(Mercado_Receita!$T$2:$T$174,"44835B4Energia convencionalIluminação públicaIluminação pública – B4aNão se aplicaNão se aplicaNão se aplica",Mercado_Receita!$N$2:$N$174)</f>
        <v>23.771000000000001</v>
      </c>
      <c r="U37" s="13">
        <f t="shared" si="0"/>
        <v>274.32500000000005</v>
      </c>
      <c r="V37" s="13"/>
      <c r="W37" s="13"/>
    </row>
    <row r="38" spans="1:23" ht="11.25" customHeight="1" x14ac:dyDescent="0.25">
      <c r="A38" s="89"/>
      <c r="B38" s="89"/>
      <c r="C38" s="89"/>
      <c r="D38" s="13" t="s">
        <v>81</v>
      </c>
      <c r="E38" s="13" t="s">
        <v>25</v>
      </c>
      <c r="F38" s="13" t="s">
        <v>25</v>
      </c>
      <c r="G38" s="13" t="s">
        <v>67</v>
      </c>
      <c r="H38" s="13" t="s">
        <v>60</v>
      </c>
      <c r="I38" s="13">
        <f>SUMIF(Mercado_Receita!$T$2:$T$174,"44501B4Energia convencionalIluminação públicaIluminação pública – B4bNão se aplicaNão se aplicaNão se aplica",Mercado_Receita!$N$2:$N$174)</f>
        <v>0</v>
      </c>
      <c r="J38" s="13">
        <f>SUMIF(Mercado_Receita!$T$2:$T$174,"44531B4Energia convencionalIluminação públicaIluminação pública – B4bNão se aplicaNão se aplicaNão se aplica",Mercado_Receita!$N$2:$N$174)</f>
        <v>0</v>
      </c>
      <c r="K38" s="13">
        <f>SUMIF(Mercado_Receita!$T$2:$T$174,"44562B4Energia convencionalIluminação públicaIluminação pública – B4bNão se aplicaNão se aplicaNão se aplica",Mercado_Receita!$N$2:$N$174)</f>
        <v>0</v>
      </c>
      <c r="L38" s="13">
        <f>SUMIF(Mercado_Receita!$T$2:$T$174,"44593B4Energia convencionalIluminação públicaIluminação pública – B4bNão se aplicaNão se aplicaNão se aplica",Mercado_Receita!$N$2:$N$174)</f>
        <v>0</v>
      </c>
      <c r="M38" s="13">
        <f>SUMIF(Mercado_Receita!$T$2:$T$174,"44621B4Energia convencionalIluminação públicaIluminação pública – B4bNão se aplicaNão se aplicaNão se aplica",Mercado_Receita!$N$2:$N$174)</f>
        <v>0</v>
      </c>
      <c r="N38" s="13">
        <f>SUMIF(Mercado_Receita!$T$2:$T$174,"44652B4Energia convencionalIluminação públicaIluminação pública – B4bNão se aplicaNão se aplicaNão se aplica",Mercado_Receita!$N$2:$N$174)</f>
        <v>0</v>
      </c>
      <c r="O38" s="13">
        <f>SUMIF(Mercado_Receita!$T$2:$T$174,"44682B4Energia convencionalIluminação públicaIluminação pública – B4bNão se aplicaNão se aplicaNão se aplica",Mercado_Receita!$N$2:$N$174)</f>
        <v>0</v>
      </c>
      <c r="P38" s="13">
        <f>SUMIF(Mercado_Receita!$T$2:$T$174,"44713B4Energia convencionalIluminação públicaIluminação pública – B4bNão se aplicaNão se aplicaNão se aplica",Mercado_Receita!$N$2:$N$174)</f>
        <v>0</v>
      </c>
      <c r="Q38" s="13">
        <f>SUMIF(Mercado_Receita!$T$2:$T$174,"44743B4Energia convencionalIluminação públicaIluminação pública – B4bNão se aplicaNão se aplicaNão se aplica",Mercado_Receita!$N$2:$N$174)</f>
        <v>0</v>
      </c>
      <c r="R38" s="13">
        <f>SUMIF(Mercado_Receita!$T$2:$T$174,"44774B4Energia convencionalIluminação públicaIluminação pública – B4bNão se aplicaNão se aplicaNão se aplica",Mercado_Receita!$N$2:$N$174)</f>
        <v>0</v>
      </c>
      <c r="S38" s="13">
        <f>SUMIF(Mercado_Receita!$T$2:$T$174,"44805B4Energia convencionalIluminação públicaIluminação pública – B4bNão se aplicaNão se aplicaNão se aplica",Mercado_Receita!$N$2:$N$174)</f>
        <v>0</v>
      </c>
      <c r="T38" s="13">
        <f>SUMIF(Mercado_Receita!$T$2:$T$174,"44835B4Energia convencionalIluminação públicaIluminação pública – B4bNão se aplicaNão se aplicaNão se aplica",Mercado_Receita!$N$2:$N$174)</f>
        <v>0</v>
      </c>
      <c r="U38" s="13">
        <f t="shared" si="0"/>
        <v>0</v>
      </c>
      <c r="V38" s="13"/>
      <c r="W38" s="13"/>
    </row>
    <row r="39" spans="1:23" ht="11.25" customHeight="1" x14ac:dyDescent="0.25">
      <c r="A39" s="90" t="s">
        <v>262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13"/>
      <c r="W39" s="13"/>
    </row>
  </sheetData>
  <mergeCells count="44">
    <mergeCell ref="A2:A3"/>
    <mergeCell ref="F2:F3"/>
    <mergeCell ref="E2:E3"/>
    <mergeCell ref="D2:D3"/>
    <mergeCell ref="C2:C3"/>
    <mergeCell ref="B2:B3"/>
    <mergeCell ref="C12:C16"/>
    <mergeCell ref="B12:B16"/>
    <mergeCell ref="A4:A16"/>
    <mergeCell ref="F17:F19"/>
    <mergeCell ref="E17:E19"/>
    <mergeCell ref="D17:D19"/>
    <mergeCell ref="C17:C19"/>
    <mergeCell ref="B17:B19"/>
    <mergeCell ref="F4:F6"/>
    <mergeCell ref="E4:E6"/>
    <mergeCell ref="D4:D6"/>
    <mergeCell ref="C4:C6"/>
    <mergeCell ref="B4:B6"/>
    <mergeCell ref="C7:C11"/>
    <mergeCell ref="B7:B11"/>
    <mergeCell ref="C21:C23"/>
    <mergeCell ref="B21:B23"/>
    <mergeCell ref="F25:F27"/>
    <mergeCell ref="E25:E27"/>
    <mergeCell ref="D25:D27"/>
    <mergeCell ref="C25:C27"/>
    <mergeCell ref="B25:B27"/>
    <mergeCell ref="A37:A38"/>
    <mergeCell ref="B37:B38"/>
    <mergeCell ref="C37:C38"/>
    <mergeCell ref="A39:U39"/>
    <mergeCell ref="C29:C31"/>
    <mergeCell ref="B29:B31"/>
    <mergeCell ref="A17:A31"/>
    <mergeCell ref="F32:F34"/>
    <mergeCell ref="E32:E34"/>
    <mergeCell ref="D32:D34"/>
    <mergeCell ref="C32:C34"/>
    <mergeCell ref="B32:B34"/>
    <mergeCell ref="A32:A36"/>
    <mergeCell ref="F21:F23"/>
    <mergeCell ref="E21:E23"/>
    <mergeCell ref="D21:D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ACDF-6784-4A8D-B8A2-0146189F496B}">
  <sheetPr codeName="Planilha6"/>
  <dimension ref="A1:AD200"/>
  <sheetViews>
    <sheetView showGridLines="0" topLeftCell="A19" workbookViewId="0">
      <selection activeCell="G49" sqref="G49"/>
    </sheetView>
  </sheetViews>
  <sheetFormatPr defaultColWidth="9.140625" defaultRowHeight="12" customHeight="1" x14ac:dyDescent="0.2"/>
  <cols>
    <col min="1" max="1" width="10.5703125" style="14" bestFit="1" customWidth="1"/>
    <col min="2" max="2" width="14.42578125" style="14" bestFit="1" customWidth="1"/>
    <col min="3" max="3" width="18.42578125" style="14" bestFit="1" customWidth="1"/>
    <col min="4" max="4" width="15" style="14" bestFit="1" customWidth="1"/>
    <col min="5" max="5" width="14.5703125" style="14" bestFit="1" customWidth="1"/>
    <col min="6" max="6" width="4.42578125" style="14" bestFit="1" customWidth="1"/>
    <col min="7" max="7" width="10" style="14" bestFit="1" customWidth="1"/>
    <col min="8" max="11" width="9.140625" style="14"/>
    <col min="12" max="12" width="34.140625" style="14" bestFit="1" customWidth="1"/>
    <col min="13" max="13" width="10" style="14" bestFit="1" customWidth="1"/>
    <col min="14" max="14" width="9.140625" style="14"/>
    <col min="15" max="15" width="30.7109375" style="14" customWidth="1"/>
    <col min="16" max="16" width="18.140625" style="14" customWidth="1"/>
    <col min="17" max="16384" width="9.140625" style="14"/>
  </cols>
  <sheetData>
    <row r="1" spans="1:30" ht="12" customHeight="1" x14ac:dyDescent="0.2">
      <c r="A1" s="10" t="s">
        <v>302</v>
      </c>
      <c r="B1" s="10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7"/>
      <c r="H1" s="7"/>
      <c r="I1" s="7"/>
      <c r="J1" s="7"/>
      <c r="K1" s="7"/>
      <c r="L1" s="96" t="s">
        <v>308</v>
      </c>
      <c r="M1" s="101"/>
      <c r="N1" s="7"/>
      <c r="O1" s="96" t="s">
        <v>396</v>
      </c>
      <c r="P1" s="97"/>
      <c r="Q1" s="97"/>
      <c r="R1" s="97"/>
      <c r="S1" s="97"/>
      <c r="T1" s="97"/>
      <c r="U1" s="97"/>
      <c r="V1" s="7"/>
      <c r="W1" s="7"/>
      <c r="X1" s="7"/>
      <c r="Y1" s="7"/>
      <c r="Z1" s="7"/>
      <c r="AA1" s="7"/>
      <c r="AB1" s="7"/>
      <c r="AC1" s="7"/>
      <c r="AD1" s="7"/>
    </row>
    <row r="2" spans="1:30" ht="12" customHeight="1" x14ac:dyDescent="0.2">
      <c r="A2" s="92" t="s">
        <v>263</v>
      </c>
      <c r="B2" s="92" t="s">
        <v>264</v>
      </c>
      <c r="C2" s="16" t="s">
        <v>349</v>
      </c>
      <c r="D2" s="13">
        <v>415113.20676963858</v>
      </c>
      <c r="E2" s="13">
        <v>-9143.4708291486622</v>
      </c>
      <c r="F2" s="13">
        <v>0</v>
      </c>
      <c r="G2" s="15"/>
      <c r="H2" s="15"/>
      <c r="I2" s="15"/>
      <c r="J2" s="15"/>
      <c r="K2" s="15"/>
      <c r="L2" s="13" t="s">
        <v>309</v>
      </c>
      <c r="M2" s="17">
        <v>5.96E-2</v>
      </c>
      <c r="N2" s="15"/>
      <c r="O2" s="34" t="s">
        <v>397</v>
      </c>
      <c r="P2" s="34" t="s">
        <v>398</v>
      </c>
      <c r="Q2" s="34" t="s">
        <v>399</v>
      </c>
      <c r="R2" s="34" t="s">
        <v>58</v>
      </c>
      <c r="S2" s="34" t="s">
        <v>400</v>
      </c>
      <c r="T2" s="34" t="s">
        <v>71</v>
      </c>
      <c r="U2" s="34"/>
      <c r="V2" s="15"/>
      <c r="W2" s="15"/>
      <c r="X2" s="13" t="s">
        <v>363</v>
      </c>
      <c r="Y2" s="15"/>
      <c r="Z2" s="15"/>
      <c r="AA2" s="15" t="s">
        <v>408</v>
      </c>
      <c r="AB2" s="15"/>
      <c r="AC2" s="15"/>
      <c r="AD2" s="15"/>
    </row>
    <row r="3" spans="1:30" ht="12" customHeight="1" x14ac:dyDescent="0.2">
      <c r="A3" s="102"/>
      <c r="B3" s="102"/>
      <c r="C3" s="16" t="s">
        <v>265</v>
      </c>
      <c r="D3" s="13">
        <v>30541.582569726626</v>
      </c>
      <c r="E3" s="13">
        <v>-874.8829567243414</v>
      </c>
      <c r="F3" s="13">
        <v>0</v>
      </c>
      <c r="G3" s="15"/>
      <c r="H3" s="15"/>
      <c r="I3" s="15"/>
      <c r="J3" s="15"/>
      <c r="K3" s="15"/>
      <c r="L3" s="13" t="s">
        <v>310</v>
      </c>
      <c r="M3" s="17"/>
      <c r="N3" s="15"/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 t="s">
        <v>401</v>
      </c>
      <c r="V3" s="15"/>
      <c r="W3" s="15"/>
      <c r="X3" s="13" t="s">
        <v>364</v>
      </c>
      <c r="Y3" s="15"/>
      <c r="Z3" s="15"/>
      <c r="AA3" s="15">
        <v>0</v>
      </c>
      <c r="AB3" s="15"/>
      <c r="AC3" s="15"/>
      <c r="AD3" s="15"/>
    </row>
    <row r="4" spans="1:30" ht="12" customHeight="1" x14ac:dyDescent="0.2">
      <c r="A4" s="102"/>
      <c r="B4" s="102"/>
      <c r="C4" s="16" t="s">
        <v>266</v>
      </c>
      <c r="D4" s="13">
        <f>$M$22-D$30</f>
        <v>0</v>
      </c>
      <c r="E4" s="13">
        <f>IF((D4+D$30)&lt;&gt;0,$M$20*D4/(D4+D$30),0)</f>
        <v>0</v>
      </c>
      <c r="F4" s="13">
        <f>IF((D4+D$30)&lt;&gt;0,$M$21*D4/(D4+D$30),0)</f>
        <v>0</v>
      </c>
      <c r="G4" s="15"/>
      <c r="H4" s="15"/>
      <c r="I4" s="15"/>
      <c r="J4" s="15"/>
      <c r="K4" s="15"/>
      <c r="L4" s="13" t="s">
        <v>311</v>
      </c>
      <c r="M4" s="17">
        <v>6.5159999743421348E-2</v>
      </c>
      <c r="N4" s="15"/>
      <c r="O4" s="35">
        <v>1</v>
      </c>
      <c r="P4" s="35">
        <v>1</v>
      </c>
      <c r="Q4" s="35">
        <v>1</v>
      </c>
      <c r="R4" s="35">
        <v>1</v>
      </c>
      <c r="S4" s="35">
        <v>1</v>
      </c>
      <c r="T4" s="35">
        <v>1</v>
      </c>
      <c r="U4" s="35" t="s">
        <v>69</v>
      </c>
      <c r="V4" s="15"/>
      <c r="W4" s="15"/>
      <c r="X4" s="15"/>
      <c r="Y4" s="15"/>
      <c r="Z4" s="15"/>
      <c r="AA4" s="15"/>
      <c r="AB4" s="15"/>
      <c r="AC4" s="15"/>
      <c r="AD4" s="15"/>
    </row>
    <row r="5" spans="1:30" ht="12" customHeight="1" x14ac:dyDescent="0.2">
      <c r="A5" s="102"/>
      <c r="B5" s="102"/>
      <c r="C5" s="16" t="s">
        <v>267</v>
      </c>
      <c r="D5" s="13">
        <v>0</v>
      </c>
      <c r="E5" s="13"/>
      <c r="F5" s="13"/>
      <c r="G5" s="15"/>
      <c r="H5" s="15"/>
      <c r="I5" s="15"/>
      <c r="J5" s="15"/>
      <c r="K5" s="15"/>
      <c r="L5" s="13" t="s">
        <v>312</v>
      </c>
      <c r="M5" s="17">
        <v>1E-14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2" customHeight="1" x14ac:dyDescent="0.2">
      <c r="A6" s="102"/>
      <c r="B6" s="102"/>
      <c r="C6" s="16" t="s">
        <v>268</v>
      </c>
      <c r="D6" s="13">
        <v>0</v>
      </c>
      <c r="E6" s="13">
        <v>0</v>
      </c>
      <c r="F6" s="13">
        <v>0</v>
      </c>
      <c r="G6" s="15"/>
      <c r="H6" s="15"/>
      <c r="I6" s="15"/>
      <c r="J6" s="15"/>
      <c r="K6" s="15"/>
      <c r="L6" s="13" t="s">
        <v>313</v>
      </c>
      <c r="M6" s="17">
        <v>0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12" customHeight="1" x14ac:dyDescent="0.2">
      <c r="A7" s="102"/>
      <c r="B7" s="102"/>
      <c r="C7" s="16" t="s">
        <v>269</v>
      </c>
      <c r="D7" s="13">
        <v>1180373.81125</v>
      </c>
      <c r="E7" s="13">
        <v>-17173.440985587797</v>
      </c>
      <c r="F7" s="13">
        <v>0</v>
      </c>
      <c r="G7" s="15"/>
      <c r="H7" s="15"/>
      <c r="I7" s="15"/>
      <c r="J7" s="15"/>
      <c r="K7" s="15"/>
      <c r="L7" s="13" t="s">
        <v>314</v>
      </c>
      <c r="M7" s="13">
        <f>M8+M9+M10+M11</f>
        <v>869.94200000000012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12" customHeight="1" x14ac:dyDescent="0.2">
      <c r="A8" s="102"/>
      <c r="B8" s="102"/>
      <c r="C8" s="16" t="s">
        <v>270</v>
      </c>
      <c r="D8" s="13">
        <v>186666.83775000004</v>
      </c>
      <c r="E8" s="13">
        <v>-2656.0980747707695</v>
      </c>
      <c r="F8" s="13">
        <v>0</v>
      </c>
      <c r="G8" s="15"/>
      <c r="H8" s="15"/>
      <c r="I8" s="15"/>
      <c r="J8" s="15"/>
      <c r="K8" s="15"/>
      <c r="L8" s="18" t="s">
        <v>315</v>
      </c>
      <c r="M8" s="13">
        <v>869.94200000000012</v>
      </c>
      <c r="N8" s="15"/>
      <c r="O8" s="13" t="s">
        <v>348</v>
      </c>
      <c r="P8" s="22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2" customHeight="1" x14ac:dyDescent="0.2">
      <c r="A9" s="102"/>
      <c r="B9" s="102"/>
      <c r="C9" s="16" t="s">
        <v>271</v>
      </c>
      <c r="D9" s="13"/>
      <c r="E9" s="13"/>
      <c r="F9" s="13"/>
      <c r="G9" s="15"/>
      <c r="H9" s="15"/>
      <c r="I9" s="15"/>
      <c r="J9" s="15"/>
      <c r="K9" s="15"/>
      <c r="L9" s="19" t="s">
        <v>316</v>
      </c>
      <c r="M9" s="13">
        <v>0</v>
      </c>
      <c r="N9" s="15"/>
      <c r="O9" s="13" t="s">
        <v>354</v>
      </c>
      <c r="P9" s="22">
        <f>SUM(Mercado_Receita!$J$2:$J$174)</f>
        <v>0</v>
      </c>
      <c r="Q9" s="22">
        <v>0</v>
      </c>
      <c r="R9" s="22" t="str">
        <f>IF(ABS(P9-Q9)&gt;1,"ERRO BADNET","OK BADNET")</f>
        <v>OK BADNET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2" customHeight="1" x14ac:dyDescent="0.2">
      <c r="A10" s="102"/>
      <c r="B10" s="93"/>
      <c r="C10" s="16" t="s">
        <v>272</v>
      </c>
      <c r="D10" s="13">
        <f>SUM(D$2:D9)</f>
        <v>1812695.4383393652</v>
      </c>
      <c r="E10" s="13">
        <f>SUM(E$2:E9)</f>
        <v>-29847.892846231571</v>
      </c>
      <c r="F10" s="13">
        <f>SUM(F$2:F9)</f>
        <v>0</v>
      </c>
      <c r="G10" s="15"/>
      <c r="H10" s="15"/>
      <c r="I10" s="15"/>
      <c r="J10" s="15"/>
      <c r="K10" s="15"/>
      <c r="L10" s="18" t="s">
        <v>317</v>
      </c>
      <c r="M10" s="13">
        <v>0</v>
      </c>
      <c r="N10" s="15"/>
      <c r="O10" s="13" t="s">
        <v>355</v>
      </c>
      <c r="P10" s="22">
        <f>SUM(Mercado_Receita!$L$2:$L$174)</f>
        <v>13377.267000000003</v>
      </c>
      <c r="Q10" s="22">
        <v>13377.267</v>
      </c>
      <c r="R10" s="22" t="str">
        <f>IF(ABS(P10-Q10)&gt;1,"ERRO BADNET","OK BADNET")</f>
        <v>OK BADNET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2" customHeight="1" x14ac:dyDescent="0.2">
      <c r="A11" s="102"/>
      <c r="B11" s="92" t="s">
        <v>273</v>
      </c>
      <c r="C11" s="16" t="s">
        <v>274</v>
      </c>
      <c r="D11" s="13">
        <v>0</v>
      </c>
      <c r="E11" s="13">
        <v>0</v>
      </c>
      <c r="F11" s="13">
        <f>IF((+$D$11+$D$12+$D$16+$D$17+$D$39)&lt;&gt;0,$M$19*$D$11/(+$D$11+$D$12+$D$16+$D$17+$D$39),0)</f>
        <v>0</v>
      </c>
      <c r="G11" s="15"/>
      <c r="H11" s="15"/>
      <c r="I11" s="15"/>
      <c r="J11" s="15"/>
      <c r="K11" s="15"/>
      <c r="L11" s="18" t="s">
        <v>318</v>
      </c>
      <c r="M11" s="13">
        <v>0</v>
      </c>
      <c r="N11" s="15"/>
      <c r="O11" s="13" t="s">
        <v>356</v>
      </c>
      <c r="P11" s="22">
        <f>SUM(Mercado_Receita!$N$2:$N$174)</f>
        <v>13377.267000000003</v>
      </c>
      <c r="Q11" s="22">
        <v>13377.267</v>
      </c>
      <c r="R11" s="22" t="str">
        <f>IF(ABS(P11-Q11)&gt;1,"ERRO BADNET","OK BADNET")</f>
        <v>OK BADNET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2" customHeight="1" x14ac:dyDescent="0.2">
      <c r="A12" s="102"/>
      <c r="B12" s="102"/>
      <c r="C12" s="16" t="s">
        <v>275</v>
      </c>
      <c r="D12" s="13">
        <v>0</v>
      </c>
      <c r="E12" s="13">
        <v>0</v>
      </c>
      <c r="F12" s="13">
        <f>IF((+$D$11+$D$12+$D$16+$D$17+$D$39)&lt;&gt;0,$M$19*$D$12/(+$D$11+$D$12+$D$16+$D$17+$D$39),0)</f>
        <v>0</v>
      </c>
      <c r="G12" s="15"/>
      <c r="H12" s="15"/>
      <c r="I12" s="15"/>
      <c r="J12" s="15"/>
      <c r="K12" s="15"/>
      <c r="L12" s="13" t="s">
        <v>319</v>
      </c>
      <c r="M12" s="13">
        <v>14247.209000000003</v>
      </c>
      <c r="N12" s="15"/>
      <c r="O12" s="13" t="s">
        <v>357</v>
      </c>
      <c r="P12" s="22">
        <f>SUMIF('MERCADO TUSD'!$H$2:$H$48,"kW",'MERCADO TUSD'!$U$2:$U$48)</f>
        <v>0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12" customHeight="1" x14ac:dyDescent="0.2">
      <c r="A13" s="102"/>
      <c r="B13" s="102"/>
      <c r="C13" s="16" t="s">
        <v>276</v>
      </c>
      <c r="D13" s="13">
        <f>-$M$51+0</f>
        <v>0</v>
      </c>
      <c r="E13" s="13"/>
      <c r="F13" s="13"/>
      <c r="G13" s="15"/>
      <c r="H13" s="15"/>
      <c r="I13" s="15"/>
      <c r="J13" s="15"/>
      <c r="K13" s="15"/>
      <c r="L13" s="13" t="s">
        <v>320</v>
      </c>
      <c r="M13" s="13">
        <v>261.90248976076907</v>
      </c>
      <c r="N13" s="15"/>
      <c r="O13" s="13" t="s">
        <v>358</v>
      </c>
      <c r="P13" s="22">
        <f>SUMIF('MERCADO TUSD'!$H$2:$H$48,"MWh",'MERCADO TUSD'!$U$2:$U$48)</f>
        <v>13377.267000000002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12" customHeight="1" x14ac:dyDescent="0.2">
      <c r="A14" s="102"/>
      <c r="B14" s="102"/>
      <c r="C14" s="16" t="s">
        <v>277</v>
      </c>
      <c r="D14" s="13"/>
      <c r="E14" s="13"/>
      <c r="F14" s="13"/>
      <c r="G14" s="15"/>
      <c r="H14" s="15"/>
      <c r="I14" s="15"/>
      <c r="J14" s="15"/>
      <c r="K14" s="15"/>
      <c r="L14" s="13" t="s">
        <v>321</v>
      </c>
      <c r="M14" s="13">
        <v>199.7394836212116</v>
      </c>
      <c r="N14" s="15"/>
      <c r="O14" s="13" t="s">
        <v>359</v>
      </c>
      <c r="P14" s="22">
        <f>SUMIF('MERCADO TE'!$H$2:$H$38,"MWh",'MERCADO TE'!$U$2:$U$38)</f>
        <v>13377.267000000002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12" customHeight="1" x14ac:dyDescent="0.2">
      <c r="A15" s="102"/>
      <c r="B15" s="102"/>
      <c r="C15" s="16" t="s">
        <v>278</v>
      </c>
      <c r="D15" s="13">
        <v>2115567.6166000003</v>
      </c>
      <c r="E15" s="13">
        <v>-36992.214810574027</v>
      </c>
      <c r="F15" s="13">
        <v>0</v>
      </c>
      <c r="G15" s="15"/>
      <c r="H15" s="15"/>
      <c r="I15" s="15"/>
      <c r="J15" s="15"/>
      <c r="K15" s="15"/>
      <c r="L15" s="13" t="s">
        <v>322</v>
      </c>
      <c r="M15" s="13">
        <f>M14*M12</f>
        <v>2845730.1687034792</v>
      </c>
      <c r="N15" s="15"/>
      <c r="O15" s="13" t="s">
        <v>360</v>
      </c>
      <c r="P15" s="22" t="str">
        <f>IF(ABS(P9-P12)&gt;1,"ERRO","OK")</f>
        <v>OK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12" customHeight="1" x14ac:dyDescent="0.2">
      <c r="A16" s="102"/>
      <c r="B16" s="102"/>
      <c r="C16" s="16" t="s">
        <v>279</v>
      </c>
      <c r="D16" s="13">
        <v>0</v>
      </c>
      <c r="E16" s="13"/>
      <c r="F16" s="13">
        <f>IF((+$D$11+$D$12+$D$16+$D$17+$D$39)&lt;&gt;0,$M$19*$D$16/(+$D$11+$D$12+$D$16+$D$17+$D$39),0)</f>
        <v>0</v>
      </c>
      <c r="G16" s="15"/>
      <c r="H16" s="15"/>
      <c r="I16" s="15"/>
      <c r="J16" s="15"/>
      <c r="K16" s="15"/>
      <c r="L16" s="13" t="s">
        <v>323</v>
      </c>
      <c r="M16" s="13">
        <v>-134087.68081918138</v>
      </c>
      <c r="N16" s="15"/>
      <c r="O16" s="13" t="s">
        <v>361</v>
      </c>
      <c r="P16" s="22" t="str">
        <f>IF(ABS(P10-P13)&gt;1,"ERRO","OK")</f>
        <v>OK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ht="12" customHeight="1" x14ac:dyDescent="0.2">
      <c r="A17" s="102"/>
      <c r="B17" s="102"/>
      <c r="C17" s="16" t="s">
        <v>280</v>
      </c>
      <c r="D17" s="13">
        <v>0</v>
      </c>
      <c r="E17" s="13"/>
      <c r="F17" s="13">
        <f>IF((+$D$11+$D$12+$D$16+$D$17+$D$39)&lt;&gt;0,$M$19*$D$17/(+$D$11+$D$12+$D$16+$D$17+$D$39),0)</f>
        <v>0</v>
      </c>
      <c r="G17" s="15"/>
      <c r="H17" s="15"/>
      <c r="I17" s="15"/>
      <c r="J17" s="15"/>
      <c r="K17" s="15"/>
      <c r="L17" s="13" t="s">
        <v>324</v>
      </c>
      <c r="M17" s="13">
        <v>0</v>
      </c>
      <c r="N17" s="15"/>
      <c r="O17" s="13" t="s">
        <v>362</v>
      </c>
      <c r="P17" s="22" t="str">
        <f>IF(ABS(P11-P14)&gt;1,"ERRO","OK")</f>
        <v>OK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ht="12" customHeight="1" x14ac:dyDescent="0.2">
      <c r="A18" s="102"/>
      <c r="B18" s="93"/>
      <c r="C18" s="16" t="s">
        <v>272</v>
      </c>
      <c r="D18" s="13">
        <f>SUM(D$11:D17)</f>
        <v>2115567.6166000003</v>
      </c>
      <c r="E18" s="13">
        <f>SUM(E$11:E17)</f>
        <v>-36992.214810574027</v>
      </c>
      <c r="F18" s="13">
        <f>SUM(F$11:F17)</f>
        <v>0</v>
      </c>
      <c r="G18" s="15"/>
      <c r="H18" s="15"/>
      <c r="I18" s="15"/>
      <c r="J18" s="15"/>
      <c r="K18" s="15"/>
      <c r="L18" s="13" t="s">
        <v>325</v>
      </c>
      <c r="M18" s="13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ht="12" customHeight="1" x14ac:dyDescent="0.2">
      <c r="A19" s="102"/>
      <c r="B19" s="92" t="s">
        <v>281</v>
      </c>
      <c r="C19" s="16" t="s">
        <v>282</v>
      </c>
      <c r="D19" s="13">
        <v>6595000</v>
      </c>
      <c r="E19" s="13">
        <v>-4201742.6235143151</v>
      </c>
      <c r="F19" s="13">
        <v>0</v>
      </c>
      <c r="G19" s="15"/>
      <c r="H19" s="15"/>
      <c r="I19" s="15"/>
      <c r="J19" s="15"/>
      <c r="K19" s="15"/>
      <c r="L19" s="13" t="s">
        <v>326</v>
      </c>
      <c r="M19" s="13">
        <v>0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ht="12" customHeight="1" x14ac:dyDescent="0.2">
      <c r="A20" s="102"/>
      <c r="B20" s="93"/>
      <c r="C20" s="16" t="s">
        <v>272</v>
      </c>
      <c r="D20" s="13">
        <f>SUM(D$19:D19)</f>
        <v>6595000</v>
      </c>
      <c r="E20" s="13">
        <f>SUM(E$19:E19)</f>
        <v>-4201742.6235143151</v>
      </c>
      <c r="F20" s="13">
        <f>SUM(F$19:F19)</f>
        <v>0</v>
      </c>
      <c r="G20" s="15"/>
      <c r="H20" s="15"/>
      <c r="I20" s="15"/>
      <c r="J20" s="15"/>
      <c r="K20" s="15"/>
      <c r="L20" s="13" t="s">
        <v>327</v>
      </c>
      <c r="M20" s="13">
        <v>0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ht="12" customHeight="1" x14ac:dyDescent="0.2">
      <c r="A21" s="102"/>
      <c r="B21" s="92" t="s">
        <v>283</v>
      </c>
      <c r="C21" s="16" t="s">
        <v>284</v>
      </c>
      <c r="D21" s="13"/>
      <c r="E21" s="13">
        <f>IF($D$47&lt;&gt;0,(1-$D$46/$D$47)*0,0)+0</f>
        <v>0</v>
      </c>
      <c r="F21" s="13"/>
      <c r="G21" s="15"/>
      <c r="H21" s="15"/>
      <c r="I21" s="15"/>
      <c r="J21" s="15"/>
      <c r="K21" s="15"/>
      <c r="L21" s="13" t="s">
        <v>328</v>
      </c>
      <c r="M21" s="13">
        <v>0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12" customHeight="1" x14ac:dyDescent="0.2">
      <c r="A22" s="102"/>
      <c r="B22" s="102"/>
      <c r="C22" s="16" t="s">
        <v>285</v>
      </c>
      <c r="D22" s="13"/>
      <c r="E22" s="13"/>
      <c r="F22" s="13"/>
      <c r="G22" s="15"/>
      <c r="H22" s="15"/>
      <c r="I22" s="15"/>
      <c r="J22" s="15"/>
      <c r="K22" s="15"/>
      <c r="L22" s="13" t="s">
        <v>350</v>
      </c>
      <c r="M22" s="13">
        <v>0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 ht="12" customHeight="1" x14ac:dyDescent="0.2">
      <c r="A23" s="102"/>
      <c r="B23" s="93"/>
      <c r="C23" s="16" t="s">
        <v>272</v>
      </c>
      <c r="D23" s="13">
        <f>SUM(D$21:D22)</f>
        <v>0</v>
      </c>
      <c r="E23" s="13">
        <f>SUM(E$21:E22)</f>
        <v>0</v>
      </c>
      <c r="F23" s="13">
        <f>SUM(F$21:F22)</f>
        <v>0</v>
      </c>
      <c r="G23" s="15"/>
      <c r="H23" s="15"/>
      <c r="I23" s="15"/>
      <c r="J23" s="15"/>
      <c r="K23" s="15"/>
      <c r="L23" s="13" t="s">
        <v>329</v>
      </c>
      <c r="M23" s="13">
        <v>14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 ht="12" customHeight="1" x14ac:dyDescent="0.2">
      <c r="A24" s="102"/>
      <c r="B24" s="92" t="s">
        <v>286</v>
      </c>
      <c r="C24" s="16" t="s">
        <v>287</v>
      </c>
      <c r="D24" s="13">
        <f>$M$14*$M$8</f>
        <v>173761.76586040409</v>
      </c>
      <c r="E24" s="13">
        <f>$M$16*$M$8/$M$12</f>
        <v>-8187.4636096936792</v>
      </c>
      <c r="F24" s="13">
        <f>$M$17*$M$8/$M$12</f>
        <v>0</v>
      </c>
      <c r="G24" s="15"/>
      <c r="H24" s="15"/>
      <c r="I24" s="15"/>
      <c r="J24" s="15"/>
      <c r="K24" s="15"/>
      <c r="L24" s="13" t="s">
        <v>330</v>
      </c>
      <c r="M24" s="13">
        <v>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 ht="12" customHeight="1" x14ac:dyDescent="0.2">
      <c r="A25" s="102"/>
      <c r="B25" s="102"/>
      <c r="C25" s="16" t="s">
        <v>288</v>
      </c>
      <c r="D25" s="13">
        <f>$M$14*$M$10</f>
        <v>0</v>
      </c>
      <c r="E25" s="13">
        <f>$M$16*$M$10/$M$12</f>
        <v>0</v>
      </c>
      <c r="F25" s="13">
        <f>$M$17*$M$10/$M$12</f>
        <v>0</v>
      </c>
      <c r="G25" s="15"/>
      <c r="H25" s="15"/>
      <c r="I25" s="15"/>
      <c r="J25" s="15"/>
      <c r="K25" s="15"/>
      <c r="L25" s="13" t="s">
        <v>331</v>
      </c>
      <c r="M25" s="13">
        <v>0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ht="12" customHeight="1" x14ac:dyDescent="0.2">
      <c r="A26" s="102"/>
      <c r="B26" s="102"/>
      <c r="C26" s="16" t="s">
        <v>289</v>
      </c>
      <c r="D26" s="13">
        <f>$M$14*$M$9</f>
        <v>0</v>
      </c>
      <c r="E26" s="13">
        <f>$M$16*$M$9/$M$12</f>
        <v>0</v>
      </c>
      <c r="F26" s="13">
        <f>$M$17*$M$9/$M$12</f>
        <v>0</v>
      </c>
      <c r="G26" s="15"/>
      <c r="H26" s="15"/>
      <c r="I26" s="15"/>
      <c r="J26" s="15"/>
      <c r="K26" s="15"/>
      <c r="L26" s="13" t="s">
        <v>332</v>
      </c>
      <c r="M26" s="13">
        <v>0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ht="12" customHeight="1" x14ac:dyDescent="0.2">
      <c r="A27" s="102"/>
      <c r="B27" s="102"/>
      <c r="C27" s="16" t="s">
        <v>290</v>
      </c>
      <c r="D27" s="13"/>
      <c r="E27" s="13"/>
      <c r="F27" s="13"/>
      <c r="G27" s="15"/>
      <c r="H27" s="15"/>
      <c r="I27" s="15"/>
      <c r="J27" s="15"/>
      <c r="K27" s="15"/>
      <c r="L27" s="13" t="s">
        <v>333</v>
      </c>
      <c r="M27" s="13">
        <v>0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ht="12" customHeight="1" x14ac:dyDescent="0.2">
      <c r="A28" s="102"/>
      <c r="B28" s="93"/>
      <c r="C28" s="16" t="s">
        <v>272</v>
      </c>
      <c r="D28" s="13">
        <f>SUM(D$24:D27)</f>
        <v>173761.76586040409</v>
      </c>
      <c r="E28" s="13">
        <f>SUM(E$24:E27)</f>
        <v>-8187.4636096936792</v>
      </c>
      <c r="F28" s="13">
        <f>SUM(F$24:F27)</f>
        <v>0</v>
      </c>
      <c r="G28" s="15"/>
      <c r="H28" s="15"/>
      <c r="I28" s="15"/>
      <c r="J28" s="15"/>
      <c r="K28" s="15"/>
      <c r="L28" s="13" t="s">
        <v>334</v>
      </c>
      <c r="M28" s="13">
        <v>0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 ht="12" customHeight="1" x14ac:dyDescent="0.2">
      <c r="A29" s="93"/>
      <c r="B29" s="94" t="s">
        <v>272</v>
      </c>
      <c r="C29" s="95"/>
      <c r="D29" s="13">
        <f>SUMIF(C$2:C28,"SUBTOTAL",D$2:D28)</f>
        <v>10697024.82079977</v>
      </c>
      <c r="E29" s="13">
        <f>SUMIF(C$2:C28,"SUBTOTAL",E$2:E28)</f>
        <v>-4276770.1947808145</v>
      </c>
      <c r="F29" s="13">
        <f>SUMIF(C$2:C28,"SUBTOTAL",F$2:F28)</f>
        <v>0</v>
      </c>
      <c r="G29" s="15"/>
      <c r="H29" s="15"/>
      <c r="I29" s="15"/>
      <c r="J29" s="15"/>
      <c r="K29" s="15"/>
      <c r="L29" s="13" t="s">
        <v>335</v>
      </c>
      <c r="M29" s="13">
        <v>0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 ht="12" customHeight="1" x14ac:dyDescent="0.2">
      <c r="A30" s="92" t="s">
        <v>291</v>
      </c>
      <c r="B30" s="92" t="s">
        <v>264</v>
      </c>
      <c r="C30" s="16" t="s">
        <v>266</v>
      </c>
      <c r="D30" s="13">
        <f>IFERROR($M$5*(+D$31+D$32+D$33+D$34+D$36+D$38+D$39+D$40+D$44)+($M$5^2)*(+D$31+D$32+D$33+D$34+D$36+D$38+D$39+D$40+D$44)/$M$22*(+$E$2+$F$2+$E$3+$F$3+$E$8+$F$8+$E$9+$F$9+$E$11+$F$11+$E$12+$F$12+$E$13+$F$13+$E$14+$F$14+$E$15+$F$15+$E$16+$F$16+$E$17+$F$17+$E$19+$F$19+$E$22+$F$22+$E$24+$F$24+$E$25+$F$25+$E$26+$F$26+$E$27+$F$27+$E$31+$F$31+$E$32+$F$32+$E$33+$F$33+$E$34+$F$34+$E$36+$F$36+$E$38+$F$38+$E$39+$F$39+$E$40+$F$40+$E$44+$F$44),0)</f>
        <v>0</v>
      </c>
      <c r="E30" s="13">
        <f>IF((D30+D$4)&lt;&gt;0,$M$20*D30/(D30+D$4),0)</f>
        <v>0</v>
      </c>
      <c r="F30" s="13">
        <f>IF((D30+D$4)&lt;&gt;0,$M$21*D30/(D30+D$4),0)</f>
        <v>0</v>
      </c>
      <c r="G30" s="15"/>
      <c r="H30" s="15"/>
      <c r="I30" s="15"/>
      <c r="J30" s="15"/>
      <c r="K30" s="15"/>
      <c r="L30" s="13" t="s">
        <v>336</v>
      </c>
      <c r="M30" s="13">
        <v>0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 ht="12" customHeight="1" x14ac:dyDescent="0.2">
      <c r="A31" s="102"/>
      <c r="B31" s="102"/>
      <c r="C31" s="16" t="s">
        <v>292</v>
      </c>
      <c r="D31" s="13">
        <v>0</v>
      </c>
      <c r="E31" s="13">
        <v>0</v>
      </c>
      <c r="F31" s="13">
        <v>0</v>
      </c>
      <c r="G31" s="15"/>
      <c r="H31" s="15"/>
      <c r="I31" s="15"/>
      <c r="J31" s="15"/>
      <c r="K31" s="15"/>
      <c r="L31" s="13" t="s">
        <v>337</v>
      </c>
      <c r="M31" s="13">
        <v>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 ht="12" customHeight="1" x14ac:dyDescent="0.2">
      <c r="A32" s="102"/>
      <c r="B32" s="102"/>
      <c r="C32" s="16" t="s">
        <v>293</v>
      </c>
      <c r="D32" s="13">
        <v>0</v>
      </c>
      <c r="E32" s="13">
        <v>0</v>
      </c>
      <c r="F32" s="13">
        <v>0</v>
      </c>
      <c r="G32" s="15"/>
      <c r="H32" s="15"/>
      <c r="I32" s="15"/>
      <c r="J32" s="15"/>
      <c r="K32" s="15"/>
      <c r="L32" s="13" t="s">
        <v>338</v>
      </c>
      <c r="M32" s="13">
        <v>0.45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 ht="12" customHeight="1" x14ac:dyDescent="0.2">
      <c r="A33" s="102"/>
      <c r="B33" s="102"/>
      <c r="C33" s="16" t="s">
        <v>353</v>
      </c>
      <c r="D33" s="13"/>
      <c r="E33" s="13">
        <v>0</v>
      </c>
      <c r="F33" s="13">
        <v>0</v>
      </c>
      <c r="G33" s="15"/>
      <c r="H33" s="15"/>
      <c r="I33" s="15"/>
      <c r="J33" s="15"/>
      <c r="K33" s="15"/>
      <c r="L33" s="13" t="s">
        <v>339</v>
      </c>
      <c r="M33" s="13">
        <v>0.4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ht="12" customHeight="1" x14ac:dyDescent="0.2">
      <c r="A34" s="102"/>
      <c r="B34" s="102"/>
      <c r="C34" s="16" t="s">
        <v>294</v>
      </c>
      <c r="D34" s="13">
        <v>0</v>
      </c>
      <c r="E34" s="13">
        <v>0</v>
      </c>
      <c r="F34" s="13">
        <v>0</v>
      </c>
      <c r="G34" s="15"/>
      <c r="H34" s="15"/>
      <c r="I34" s="15"/>
      <c r="J34" s="15"/>
      <c r="K34" s="15"/>
      <c r="L34" s="13" t="s">
        <v>340</v>
      </c>
      <c r="M34" s="13">
        <v>0.65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 ht="12" customHeight="1" x14ac:dyDescent="0.2">
      <c r="A35" s="102"/>
      <c r="B35" s="93"/>
      <c r="C35" s="16" t="s">
        <v>272</v>
      </c>
      <c r="D35" s="13">
        <f>SUM(D$30:D34)</f>
        <v>0</v>
      </c>
      <c r="E35" s="13">
        <f>SUM(E$30:E34)</f>
        <v>0</v>
      </c>
      <c r="F35" s="13">
        <f>SUM(F$30:F34)</f>
        <v>0</v>
      </c>
      <c r="G35" s="15"/>
      <c r="H35" s="15"/>
      <c r="I35" s="15"/>
      <c r="J35" s="15"/>
      <c r="K35" s="15"/>
      <c r="L35" s="13" t="s">
        <v>341</v>
      </c>
      <c r="M35" s="13">
        <v>0.4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ht="12" customHeight="1" x14ac:dyDescent="0.2">
      <c r="A36" s="102"/>
      <c r="B36" s="92" t="s">
        <v>295</v>
      </c>
      <c r="C36" s="16" t="s">
        <v>296</v>
      </c>
      <c r="D36" s="13">
        <f>$M$14*($M$12-$M$7)</f>
        <v>2671968.4028430749</v>
      </c>
      <c r="E36" s="13">
        <f>$M$16*($M$12-$M$7)/$M$12</f>
        <v>-125900.21720948769</v>
      </c>
      <c r="F36" s="13">
        <f>$M$17*($M$12-$M$7)/$M$12</f>
        <v>0</v>
      </c>
      <c r="G36" s="15"/>
      <c r="H36" s="15"/>
      <c r="I36" s="15"/>
      <c r="J36" s="15"/>
      <c r="K36" s="15"/>
      <c r="L36" s="13" t="s">
        <v>342</v>
      </c>
      <c r="M36" s="13">
        <v>0.1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ht="12" customHeight="1" x14ac:dyDescent="0.2">
      <c r="A37" s="102"/>
      <c r="B37" s="93"/>
      <c r="C37" s="16" t="s">
        <v>272</v>
      </c>
      <c r="D37" s="13">
        <f>SUM(D$36:D36)</f>
        <v>2671968.4028430749</v>
      </c>
      <c r="E37" s="13">
        <f>SUM(E$36:E36)</f>
        <v>-125900.21720948769</v>
      </c>
      <c r="F37" s="13">
        <f>SUM(F$36:F36)</f>
        <v>0</v>
      </c>
      <c r="G37" s="15"/>
      <c r="H37" s="15"/>
      <c r="I37" s="15"/>
      <c r="J37" s="15"/>
      <c r="K37" s="15"/>
      <c r="L37" s="13" t="s">
        <v>343</v>
      </c>
      <c r="M37" s="13">
        <v>0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 ht="12" customHeight="1" x14ac:dyDescent="0.2">
      <c r="A38" s="102"/>
      <c r="B38" s="92" t="s">
        <v>273</v>
      </c>
      <c r="C38" s="16" t="s">
        <v>297</v>
      </c>
      <c r="D38" s="13">
        <v>0</v>
      </c>
      <c r="E38" s="13">
        <v>0</v>
      </c>
      <c r="F38" s="13">
        <v>0</v>
      </c>
      <c r="G38" s="15"/>
      <c r="H38" s="15"/>
      <c r="I38" s="15"/>
      <c r="J38" s="15"/>
      <c r="K38" s="15"/>
      <c r="L38" s="13" t="s">
        <v>344</v>
      </c>
      <c r="M38" s="13">
        <f>IFERROR(VLOOKUP("Convencional1RuralNão se aplicaRURALB2",Descontos!B1:U88,VLOOKUP("Convencional1RuralNão se aplicaRURALB2",Descontos!B1:U88,20,FALSE)+12,FALSE),100)</f>
        <v>0.06</v>
      </c>
      <c r="N38" s="15" t="s">
        <v>402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1:30" ht="12" customHeight="1" x14ac:dyDescent="0.2">
      <c r="A39" s="102"/>
      <c r="B39" s="102"/>
      <c r="C39" s="16" t="s">
        <v>298</v>
      </c>
      <c r="D39" s="13">
        <v>0</v>
      </c>
      <c r="E39" s="13"/>
      <c r="F39" s="13">
        <f>IF((+$D$11+$D$12+$D$16+$D$17+$D$39)&lt;&gt;0,$M$19*$D$39/(+$D$11+$D$12+$D$16+$D$17+$D$39),0)</f>
        <v>0</v>
      </c>
      <c r="G39" s="15"/>
      <c r="H39" s="15"/>
      <c r="I39" s="15"/>
      <c r="J39" s="15"/>
      <c r="K39" s="15"/>
      <c r="L39" s="13" t="s">
        <v>345</v>
      </c>
      <c r="M39" s="13">
        <f>IFERROR(VLOOKUP("Convencional1RuralCooperativa de eletrificação ruralPlanilha CUSTOB2",Descontos!B1:U88,VLOOKUP("Convencional1RuralCooperativa de eletrificação ruralPlanilha CUSTOB2",Descontos!B1:U88,20,FALSE)+12,FALSE),100)</f>
        <v>0.06</v>
      </c>
      <c r="N39" s="15">
        <v>0.3</v>
      </c>
      <c r="O39" s="15" t="s">
        <v>422</v>
      </c>
      <c r="P39" s="15" t="s">
        <v>423</v>
      </c>
      <c r="Q39" s="15" t="s">
        <v>424</v>
      </c>
      <c r="R39" s="15" t="s">
        <v>425</v>
      </c>
      <c r="S39" s="15" t="s">
        <v>1</v>
      </c>
      <c r="T39" s="15" t="s">
        <v>426</v>
      </c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ht="12" customHeight="1" x14ac:dyDescent="0.25">
      <c r="A40" s="102"/>
      <c r="B40" s="102"/>
      <c r="C40" s="16" t="s">
        <v>299</v>
      </c>
      <c r="D40" s="13"/>
      <c r="E40" s="13"/>
      <c r="F40" s="13"/>
      <c r="G40" s="15"/>
      <c r="H40" s="15"/>
      <c r="I40" s="15"/>
      <c r="J40" s="15"/>
      <c r="K40" s="15"/>
      <c r="L40" s="13" t="s">
        <v>346</v>
      </c>
      <c r="M40" s="13">
        <f>IFERROR(VLOOKUP("Convencional1RuralServiço público de irrigação ruralPlanilha CUSTOB2",Descontos!B1:U88,VLOOKUP("Convencional1RuralServiço público de irrigação ruralPlanilha CUSTOB2",Descontos!B1:U88,20,FALSE)+12,FALSE),100)</f>
        <v>0.08</v>
      </c>
      <c r="N40" s="15">
        <v>0.4</v>
      </c>
      <c r="O40" s="39"/>
      <c r="P40" s="39"/>
      <c r="Q40" s="39"/>
      <c r="R40" s="39"/>
      <c r="S40" s="39"/>
      <c r="T40" s="39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 ht="12" customHeight="1" x14ac:dyDescent="0.25">
      <c r="A41" s="102"/>
      <c r="B41" s="93"/>
      <c r="C41" s="16" t="s">
        <v>272</v>
      </c>
      <c r="D41" s="13">
        <f>SUM(D$38:D40)</f>
        <v>0</v>
      </c>
      <c r="E41" s="13">
        <f>SUM(E$38:E40)</f>
        <v>0</v>
      </c>
      <c r="F41" s="13">
        <f>SUM(F$38:F40)</f>
        <v>0</v>
      </c>
      <c r="G41" s="15"/>
      <c r="H41" s="15"/>
      <c r="I41" s="15"/>
      <c r="J41" s="15"/>
      <c r="K41" s="15"/>
      <c r="L41" s="15"/>
      <c r="M41" s="15"/>
      <c r="N41" s="15"/>
      <c r="O41" s="39"/>
      <c r="P41" s="39"/>
      <c r="Q41" s="39"/>
      <c r="R41" s="39"/>
      <c r="S41" s="39"/>
      <c r="T41" s="39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1:30" ht="12" customHeight="1" x14ac:dyDescent="0.25">
      <c r="A42" s="102"/>
      <c r="B42" s="92" t="s">
        <v>283</v>
      </c>
      <c r="C42" s="16" t="s">
        <v>284</v>
      </c>
      <c r="D42" s="13"/>
      <c r="E42" s="13">
        <f>IF($D$47&lt;&gt;0,($D$46/$D$47)* 0,0)+0</f>
        <v>0</v>
      </c>
      <c r="F42" s="13"/>
      <c r="G42" s="15"/>
      <c r="H42" s="15"/>
      <c r="I42" s="15"/>
      <c r="J42" s="15"/>
      <c r="K42" s="15"/>
      <c r="L42" s="15"/>
      <c r="M42" s="15"/>
      <c r="N42" s="15"/>
      <c r="O42" s="39"/>
      <c r="P42" s="39"/>
      <c r="Q42" s="39"/>
      <c r="R42" s="39"/>
      <c r="S42" s="39"/>
      <c r="T42" s="39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1:30" ht="12" customHeight="1" x14ac:dyDescent="0.25">
      <c r="A43" s="102"/>
      <c r="B43" s="93"/>
      <c r="C43" s="16" t="s">
        <v>272</v>
      </c>
      <c r="D43" s="13">
        <f>SUM(D$42:D42)</f>
        <v>0</v>
      </c>
      <c r="E43" s="13">
        <f>SUM(E$42:E42)</f>
        <v>0</v>
      </c>
      <c r="F43" s="13">
        <f>SUM(F$42:F42)</f>
        <v>0</v>
      </c>
      <c r="G43" s="15"/>
      <c r="H43" s="15"/>
      <c r="I43" s="15"/>
      <c r="J43" s="15"/>
      <c r="K43" s="15"/>
      <c r="L43" s="15"/>
      <c r="M43" s="15"/>
      <c r="N43" s="15"/>
      <c r="O43" s="39"/>
      <c r="P43" s="39"/>
      <c r="Q43" s="39"/>
      <c r="R43" s="39"/>
      <c r="S43" s="39"/>
      <c r="T43" s="39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1:30" ht="12" customHeight="1" x14ac:dyDescent="0.25">
      <c r="A44" s="102"/>
      <c r="B44" s="92" t="s">
        <v>286</v>
      </c>
      <c r="C44" s="16" t="s">
        <v>300</v>
      </c>
      <c r="D44" s="13">
        <f>$M$14*$M$11</f>
        <v>0</v>
      </c>
      <c r="E44" s="13">
        <f>$M$16*$M$11/$M$12</f>
        <v>0</v>
      </c>
      <c r="F44" s="13">
        <f>$M$17*$M$11/$M$12</f>
        <v>0</v>
      </c>
      <c r="G44" s="15"/>
      <c r="H44" s="15"/>
      <c r="I44" s="15"/>
      <c r="J44" s="15"/>
      <c r="K44" s="15"/>
      <c r="L44" s="15"/>
      <c r="M44" s="15"/>
      <c r="N44" s="15"/>
      <c r="O44" s="39"/>
      <c r="P44" s="39"/>
      <c r="Q44" s="39"/>
      <c r="R44" s="39"/>
      <c r="S44" s="39"/>
      <c r="T44" s="39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1:30" ht="12" customHeight="1" x14ac:dyDescent="0.25">
      <c r="A45" s="102"/>
      <c r="B45" s="93"/>
      <c r="C45" s="16" t="s">
        <v>272</v>
      </c>
      <c r="D45" s="13">
        <f>SUM(D$44:D44)</f>
        <v>0</v>
      </c>
      <c r="E45" s="13">
        <f>SUM(E$44:E44)</f>
        <v>0</v>
      </c>
      <c r="F45" s="13">
        <f>SUM(F$44:F44)</f>
        <v>0</v>
      </c>
      <c r="G45" s="15"/>
      <c r="H45" s="15"/>
      <c r="I45" s="15"/>
      <c r="J45" s="15"/>
      <c r="K45" s="15"/>
      <c r="L45" s="15"/>
      <c r="M45" s="15"/>
      <c r="N45" s="15"/>
      <c r="O45" s="39"/>
      <c r="P45" s="39"/>
      <c r="Q45" s="39"/>
      <c r="R45" s="39"/>
      <c r="S45" s="39"/>
      <c r="T45" s="39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 ht="12" customHeight="1" x14ac:dyDescent="0.25">
      <c r="A46" s="93"/>
      <c r="B46" s="94" t="s">
        <v>272</v>
      </c>
      <c r="C46" s="95"/>
      <c r="D46" s="13">
        <f>SUMIF(C$30:C45,"SUBTOTAL",D$30:D45)</f>
        <v>2671968.4028430749</v>
      </c>
      <c r="E46" s="13">
        <f>SUMIF(C$30:C45,"SUBTOTAL",E$30:E45)</f>
        <v>-125900.21720948769</v>
      </c>
      <c r="F46" s="13">
        <f>SUMIF(C$30:C45,"SUBTOTAL",F$30:F45)</f>
        <v>0</v>
      </c>
      <c r="G46" s="15"/>
      <c r="H46" s="15"/>
      <c r="I46" s="15"/>
      <c r="J46" s="15"/>
      <c r="K46" s="15"/>
      <c r="L46" s="15"/>
      <c r="M46" s="15"/>
      <c r="N46" s="15"/>
      <c r="O46" s="39"/>
      <c r="P46" s="39"/>
      <c r="Q46" s="39"/>
      <c r="R46" s="39"/>
      <c r="S46" s="39"/>
      <c r="T46" s="39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 ht="12" customHeight="1" x14ac:dyDescent="0.25">
      <c r="A47" s="94" t="s">
        <v>301</v>
      </c>
      <c r="B47" s="100"/>
      <c r="C47" s="95"/>
      <c r="D47" s="13">
        <f>SUMIF(C$2:C46,"SUBTOTAL",D$2:D46)</f>
        <v>13368993.223642845</v>
      </c>
      <c r="E47" s="13">
        <f>SUMIF(C$2:C46,"SUBTOTAL",E$2:E46)</f>
        <v>-4402670.4119903017</v>
      </c>
      <c r="F47" s="13">
        <f>SUMIF(C$2:C46,"SUBTOTAL",F$2:F46)</f>
        <v>0</v>
      </c>
      <c r="G47" s="15"/>
      <c r="H47" s="15"/>
      <c r="I47" s="15"/>
      <c r="J47" s="15"/>
      <c r="K47" s="15"/>
      <c r="L47" s="15"/>
      <c r="M47" s="15"/>
      <c r="N47" s="15"/>
      <c r="O47" s="39"/>
      <c r="P47" s="39"/>
      <c r="Q47" s="39"/>
      <c r="R47" s="39"/>
      <c r="S47" s="39"/>
      <c r="T47" s="39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 ht="12" customHeight="1" x14ac:dyDescent="0.25">
      <c r="A48" s="98" t="s">
        <v>394</v>
      </c>
      <c r="B48" s="99"/>
      <c r="C48" s="99"/>
      <c r="D48" s="32">
        <f ca="1">'TUSD BE'!$AM$53+'TUSD BE'!$AM$57+'TE BE'!$AB$43</f>
        <v>13368993.223642843</v>
      </c>
      <c r="E48" s="32">
        <f ca="1">'TUSD BF'!$AM$53+'TE BF'!$AB$43</f>
        <v>-4402670.4119903017</v>
      </c>
      <c r="F48" s="32">
        <f ca="1">'TUSD CVA'!$AM$53+'TE CVA'!$AB$43</f>
        <v>0</v>
      </c>
      <c r="G48" s="45">
        <f ca="1">SUM(D48:F48)</f>
        <v>8966322.8116525412</v>
      </c>
      <c r="L48" s="16"/>
      <c r="M48" s="13"/>
      <c r="O48" s="39"/>
      <c r="P48" s="39"/>
      <c r="Q48" s="39"/>
      <c r="R48" s="39"/>
      <c r="S48" s="39"/>
      <c r="T48" s="39"/>
    </row>
    <row r="49" spans="1:20" ht="12" customHeight="1" x14ac:dyDescent="0.25">
      <c r="A49" s="98" t="s">
        <v>395</v>
      </c>
      <c r="B49" s="99"/>
      <c r="C49" s="99"/>
      <c r="D49" s="33" t="str">
        <f ca="1">IF(ABS(D48-D47)&gt;1,"ERRO","OK")</f>
        <v>OK</v>
      </c>
      <c r="E49" s="33" t="str">
        <f ca="1">IF(ABS(E48-E47)&gt;1,"ERRO","OK")</f>
        <v>OK</v>
      </c>
      <c r="F49" s="33" t="str">
        <f ca="1">IF(ABS(F48-F47)&gt;1,"ERRO","OK")</f>
        <v>OK</v>
      </c>
      <c r="L49" s="16"/>
      <c r="M49" s="13"/>
      <c r="O49" s="39"/>
      <c r="P49" s="39"/>
      <c r="Q49" s="39"/>
      <c r="R49" s="39"/>
      <c r="S49" s="39"/>
      <c r="T49" s="39"/>
    </row>
    <row r="50" spans="1:20" ht="12" customHeight="1" x14ac:dyDescent="0.25">
      <c r="L50" s="16"/>
      <c r="M50" s="13"/>
      <c r="O50" s="39"/>
      <c r="P50" s="39"/>
      <c r="Q50" s="39"/>
      <c r="R50" s="39"/>
      <c r="S50" s="39"/>
      <c r="T50" s="39"/>
    </row>
    <row r="51" spans="1:20" ht="12" customHeight="1" x14ac:dyDescent="0.25">
      <c r="L51" s="20" t="s">
        <v>347</v>
      </c>
      <c r="M51" s="21">
        <v>0</v>
      </c>
      <c r="O51" s="39"/>
      <c r="P51" s="39"/>
      <c r="Q51" s="39"/>
      <c r="R51" s="39"/>
      <c r="S51" s="39"/>
      <c r="T51" s="39"/>
    </row>
    <row r="52" spans="1:20" ht="12" customHeight="1" x14ac:dyDescent="0.25">
      <c r="O52" s="39"/>
      <c r="P52" s="39"/>
      <c r="Q52" s="39"/>
      <c r="R52" s="39"/>
      <c r="S52" s="39"/>
      <c r="T52" s="39"/>
    </row>
    <row r="53" spans="1:20" ht="12" customHeight="1" x14ac:dyDescent="0.25">
      <c r="O53" s="39"/>
      <c r="P53" s="39"/>
      <c r="Q53" s="39"/>
      <c r="R53" s="39"/>
      <c r="S53" s="39"/>
      <c r="T53" s="39"/>
    </row>
    <row r="54" spans="1:20" ht="12" customHeight="1" x14ac:dyDescent="0.25">
      <c r="O54" s="39"/>
      <c r="P54" s="39"/>
      <c r="Q54" s="39"/>
      <c r="R54" s="39"/>
      <c r="S54" s="39"/>
      <c r="T54" s="39"/>
    </row>
    <row r="55" spans="1:20" ht="12" customHeight="1" x14ac:dyDescent="0.25">
      <c r="O55" s="39"/>
      <c r="P55" s="39"/>
      <c r="Q55" s="39"/>
      <c r="R55" s="39"/>
      <c r="S55" s="39"/>
      <c r="T55" s="39"/>
    </row>
    <row r="56" spans="1:20" ht="12" customHeight="1" x14ac:dyDescent="0.25">
      <c r="O56" s="39"/>
      <c r="P56" s="39"/>
      <c r="Q56" s="39"/>
      <c r="R56" s="39"/>
      <c r="S56" s="39"/>
      <c r="T56" s="39"/>
    </row>
    <row r="57" spans="1:20" ht="12" customHeight="1" x14ac:dyDescent="0.25">
      <c r="O57" s="39"/>
      <c r="P57" s="39"/>
      <c r="Q57" s="39"/>
      <c r="R57" s="39"/>
      <c r="S57" s="39"/>
      <c r="T57" s="39"/>
    </row>
    <row r="58" spans="1:20" ht="12" customHeight="1" x14ac:dyDescent="0.25">
      <c r="O58" s="39"/>
      <c r="P58" s="39"/>
      <c r="Q58" s="39"/>
      <c r="R58" s="39"/>
      <c r="S58" s="39"/>
      <c r="T58" s="39"/>
    </row>
    <row r="59" spans="1:20" ht="12" customHeight="1" x14ac:dyDescent="0.25">
      <c r="O59" s="39"/>
      <c r="P59" s="39"/>
      <c r="Q59" s="39"/>
      <c r="R59" s="39"/>
      <c r="S59" s="39"/>
      <c r="T59" s="39"/>
    </row>
    <row r="60" spans="1:20" ht="12" customHeight="1" x14ac:dyDescent="0.25">
      <c r="O60" s="39"/>
      <c r="P60" s="39"/>
      <c r="Q60" s="39"/>
      <c r="R60" s="39"/>
      <c r="S60" s="39"/>
      <c r="T60" s="39"/>
    </row>
    <row r="61" spans="1:20" ht="12" customHeight="1" x14ac:dyDescent="0.25">
      <c r="O61" s="39"/>
      <c r="P61" s="39"/>
      <c r="Q61" s="39"/>
      <c r="R61" s="39"/>
      <c r="S61" s="39"/>
      <c r="T61" s="39"/>
    </row>
    <row r="62" spans="1:20" ht="12" customHeight="1" x14ac:dyDescent="0.25">
      <c r="O62" s="39"/>
      <c r="P62" s="39"/>
      <c r="Q62" s="39"/>
      <c r="R62" s="39"/>
      <c r="S62" s="39"/>
      <c r="T62" s="39"/>
    </row>
    <row r="63" spans="1:20" ht="12" customHeight="1" x14ac:dyDescent="0.25">
      <c r="O63" s="39"/>
      <c r="P63" s="39"/>
      <c r="Q63" s="39"/>
      <c r="R63" s="39"/>
      <c r="S63" s="39"/>
      <c r="T63" s="39"/>
    </row>
    <row r="64" spans="1:20" ht="12" customHeight="1" x14ac:dyDescent="0.25">
      <c r="O64" s="39"/>
      <c r="P64" s="39"/>
      <c r="Q64" s="39"/>
      <c r="R64" s="39"/>
      <c r="S64" s="39"/>
      <c r="T64" s="39"/>
    </row>
    <row r="65" spans="15:20" ht="12" customHeight="1" x14ac:dyDescent="0.25">
      <c r="O65" s="39"/>
      <c r="P65" s="39"/>
      <c r="Q65" s="39"/>
      <c r="R65" s="39"/>
      <c r="S65" s="39"/>
      <c r="T65" s="39"/>
    </row>
    <row r="66" spans="15:20" ht="12" customHeight="1" x14ac:dyDescent="0.25">
      <c r="O66" s="39"/>
      <c r="P66" s="39"/>
      <c r="Q66" s="39"/>
      <c r="R66" s="39"/>
      <c r="S66" s="39"/>
      <c r="T66" s="39"/>
    </row>
    <row r="67" spans="15:20" ht="12" customHeight="1" x14ac:dyDescent="0.25">
      <c r="O67" s="39"/>
      <c r="P67" s="39"/>
      <c r="Q67" s="39"/>
      <c r="R67" s="39"/>
      <c r="S67" s="39"/>
      <c r="T67" s="39"/>
    </row>
    <row r="68" spans="15:20" ht="12" customHeight="1" x14ac:dyDescent="0.25">
      <c r="O68" s="39"/>
      <c r="P68" s="39"/>
      <c r="Q68" s="39"/>
      <c r="R68" s="39"/>
      <c r="S68" s="39"/>
      <c r="T68" s="39"/>
    </row>
    <row r="69" spans="15:20" ht="12" customHeight="1" x14ac:dyDescent="0.25">
      <c r="O69" s="39"/>
      <c r="P69" s="39"/>
      <c r="Q69" s="39"/>
      <c r="R69" s="39"/>
      <c r="S69" s="39"/>
      <c r="T69" s="39"/>
    </row>
    <row r="70" spans="15:20" ht="12" customHeight="1" x14ac:dyDescent="0.25">
      <c r="O70" s="39"/>
      <c r="P70" s="39"/>
      <c r="Q70" s="39"/>
      <c r="R70" s="39"/>
      <c r="S70" s="39"/>
      <c r="T70" s="39"/>
    </row>
    <row r="71" spans="15:20" ht="12" customHeight="1" x14ac:dyDescent="0.25">
      <c r="O71" s="39"/>
      <c r="P71" s="39"/>
      <c r="Q71" s="39"/>
      <c r="R71" s="39"/>
      <c r="S71" s="39"/>
      <c r="T71" s="39"/>
    </row>
    <row r="72" spans="15:20" ht="12" customHeight="1" x14ac:dyDescent="0.25">
      <c r="O72" s="39"/>
      <c r="P72" s="39"/>
      <c r="Q72" s="39"/>
      <c r="R72" s="39"/>
      <c r="S72" s="39"/>
      <c r="T72" s="39"/>
    </row>
    <row r="73" spans="15:20" ht="12" customHeight="1" x14ac:dyDescent="0.25">
      <c r="O73" s="39"/>
      <c r="P73" s="39"/>
      <c r="Q73" s="39"/>
      <c r="R73" s="39"/>
      <c r="S73" s="39"/>
      <c r="T73" s="39"/>
    </row>
    <row r="74" spans="15:20" ht="12" customHeight="1" x14ac:dyDescent="0.25">
      <c r="O74" s="39"/>
      <c r="P74" s="39"/>
      <c r="Q74" s="39"/>
      <c r="R74" s="39"/>
      <c r="S74" s="39"/>
      <c r="T74" s="39"/>
    </row>
    <row r="75" spans="15:20" ht="12" customHeight="1" x14ac:dyDescent="0.25">
      <c r="O75" s="39"/>
      <c r="P75" s="39"/>
      <c r="Q75" s="39"/>
      <c r="R75" s="39"/>
      <c r="S75" s="39"/>
      <c r="T75" s="39"/>
    </row>
    <row r="76" spans="15:20" ht="12" customHeight="1" x14ac:dyDescent="0.25">
      <c r="O76" s="39"/>
      <c r="P76" s="39"/>
      <c r="Q76" s="39"/>
      <c r="R76" s="39"/>
      <c r="S76" s="39"/>
      <c r="T76" s="39"/>
    </row>
    <row r="77" spans="15:20" ht="12" customHeight="1" x14ac:dyDescent="0.25">
      <c r="O77" s="39"/>
      <c r="P77" s="39"/>
      <c r="Q77" s="39"/>
      <c r="R77" s="39"/>
      <c r="S77" s="39"/>
      <c r="T77" s="39"/>
    </row>
    <row r="78" spans="15:20" ht="12" customHeight="1" x14ac:dyDescent="0.25">
      <c r="O78" s="39"/>
      <c r="P78" s="39"/>
      <c r="Q78" s="39"/>
      <c r="R78" s="39"/>
      <c r="S78" s="39"/>
      <c r="T78" s="39"/>
    </row>
    <row r="79" spans="15:20" ht="12" customHeight="1" x14ac:dyDescent="0.25">
      <c r="O79" s="39"/>
      <c r="P79" s="39"/>
      <c r="Q79" s="39"/>
      <c r="R79" s="39"/>
      <c r="S79" s="39"/>
      <c r="T79" s="39"/>
    </row>
    <row r="80" spans="15:20" ht="12" customHeight="1" x14ac:dyDescent="0.25">
      <c r="O80" s="39"/>
      <c r="P80" s="39"/>
      <c r="Q80" s="39"/>
      <c r="R80" s="39"/>
      <c r="S80" s="39"/>
      <c r="T80" s="39"/>
    </row>
    <row r="81" spans="15:20" ht="12" customHeight="1" x14ac:dyDescent="0.25">
      <c r="O81" s="39"/>
      <c r="P81" s="39"/>
      <c r="Q81" s="39"/>
      <c r="R81" s="39"/>
      <c r="S81" s="39"/>
      <c r="T81" s="39"/>
    </row>
    <row r="82" spans="15:20" ht="12" customHeight="1" x14ac:dyDescent="0.25">
      <c r="O82" s="39"/>
      <c r="P82" s="39"/>
      <c r="Q82" s="39"/>
      <c r="R82" s="39"/>
      <c r="S82" s="39"/>
      <c r="T82" s="39"/>
    </row>
    <row r="83" spans="15:20" ht="12" customHeight="1" x14ac:dyDescent="0.25">
      <c r="O83" s="39"/>
      <c r="P83" s="39"/>
      <c r="Q83" s="39"/>
      <c r="R83" s="39"/>
      <c r="S83" s="39"/>
      <c r="T83" s="39"/>
    </row>
    <row r="84" spans="15:20" ht="12" customHeight="1" x14ac:dyDescent="0.25">
      <c r="O84" s="39"/>
      <c r="P84" s="39"/>
      <c r="Q84" s="39"/>
      <c r="R84" s="39"/>
      <c r="S84" s="39"/>
      <c r="T84" s="39"/>
    </row>
    <row r="85" spans="15:20" ht="12" customHeight="1" x14ac:dyDescent="0.25">
      <c r="O85" s="39"/>
      <c r="P85" s="39"/>
      <c r="Q85" s="39"/>
      <c r="R85" s="39"/>
      <c r="S85" s="39"/>
      <c r="T85" s="39"/>
    </row>
    <row r="86" spans="15:20" ht="12" customHeight="1" x14ac:dyDescent="0.25">
      <c r="O86" s="39"/>
      <c r="P86" s="39"/>
      <c r="Q86" s="39"/>
      <c r="R86" s="39"/>
      <c r="S86" s="39"/>
      <c r="T86" s="39"/>
    </row>
    <row r="87" spans="15:20" ht="12" customHeight="1" x14ac:dyDescent="0.25">
      <c r="O87" s="39"/>
      <c r="P87" s="39"/>
      <c r="Q87" s="39"/>
      <c r="R87" s="39"/>
      <c r="S87" s="39"/>
      <c r="T87" s="39"/>
    </row>
    <row r="88" spans="15:20" ht="12" customHeight="1" x14ac:dyDescent="0.25">
      <c r="O88" s="39"/>
      <c r="P88" s="39"/>
      <c r="Q88" s="39"/>
      <c r="R88" s="39"/>
      <c r="S88" s="39"/>
      <c r="T88" s="39"/>
    </row>
    <row r="89" spans="15:20" ht="12" customHeight="1" x14ac:dyDescent="0.25">
      <c r="O89" s="39"/>
      <c r="P89" s="39"/>
      <c r="Q89" s="39"/>
      <c r="R89" s="39"/>
      <c r="S89" s="39"/>
      <c r="T89" s="39"/>
    </row>
    <row r="90" spans="15:20" ht="12" customHeight="1" x14ac:dyDescent="0.25">
      <c r="O90" s="39"/>
      <c r="P90" s="39"/>
      <c r="Q90" s="39"/>
      <c r="R90" s="39"/>
      <c r="S90" s="39"/>
      <c r="T90" s="39"/>
    </row>
    <row r="91" spans="15:20" ht="12" customHeight="1" x14ac:dyDescent="0.25">
      <c r="O91" s="39"/>
      <c r="P91" s="39"/>
      <c r="Q91" s="39"/>
      <c r="R91" s="39"/>
      <c r="S91" s="39"/>
      <c r="T91" s="39"/>
    </row>
    <row r="92" spans="15:20" ht="12" customHeight="1" x14ac:dyDescent="0.25">
      <c r="O92" s="39"/>
      <c r="P92" s="39"/>
      <c r="Q92" s="39"/>
      <c r="R92" s="39"/>
      <c r="S92" s="39"/>
      <c r="T92" s="39"/>
    </row>
    <row r="93" spans="15:20" ht="12" customHeight="1" x14ac:dyDescent="0.25">
      <c r="O93" s="39"/>
      <c r="P93" s="39"/>
      <c r="Q93" s="39"/>
      <c r="R93" s="39"/>
      <c r="S93" s="39"/>
      <c r="T93" s="39"/>
    </row>
    <row r="94" spans="15:20" ht="12" customHeight="1" x14ac:dyDescent="0.25">
      <c r="O94" s="39"/>
      <c r="P94" s="39"/>
      <c r="Q94" s="39"/>
      <c r="R94" s="39"/>
      <c r="S94" s="39"/>
      <c r="T94" s="39"/>
    </row>
    <row r="95" spans="15:20" ht="12" customHeight="1" x14ac:dyDescent="0.25">
      <c r="O95" s="39"/>
      <c r="P95" s="39"/>
      <c r="Q95" s="39"/>
      <c r="R95" s="39"/>
      <c r="S95" s="39"/>
      <c r="T95" s="39"/>
    </row>
    <row r="96" spans="15:20" ht="12" customHeight="1" x14ac:dyDescent="0.25">
      <c r="O96" s="39"/>
      <c r="P96" s="39"/>
      <c r="Q96" s="39"/>
      <c r="R96" s="39"/>
      <c r="S96" s="39"/>
      <c r="T96" s="39"/>
    </row>
    <row r="97" spans="15:30" ht="12" customHeight="1" x14ac:dyDescent="0.25">
      <c r="O97" s="39"/>
      <c r="P97" s="39"/>
      <c r="Q97" s="39"/>
      <c r="R97" s="39"/>
      <c r="S97" s="39"/>
      <c r="T97" s="39"/>
    </row>
    <row r="98" spans="15:30" ht="12" customHeight="1" x14ac:dyDescent="0.25">
      <c r="O98" s="39"/>
      <c r="P98" s="39"/>
      <c r="Q98" s="39"/>
      <c r="R98" s="39"/>
      <c r="S98" s="39"/>
      <c r="T98" s="39"/>
    </row>
    <row r="99" spans="15:30" ht="12" customHeight="1" x14ac:dyDescent="0.25">
      <c r="O99" s="38"/>
      <c r="P99" s="38"/>
      <c r="Q99" s="38"/>
      <c r="R99" s="38"/>
      <c r="S99" s="38"/>
      <c r="T99" s="38"/>
    </row>
    <row r="100" spans="15:30" ht="12" customHeight="1" x14ac:dyDescent="0.25"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</row>
    <row r="101" spans="15:30" ht="12" customHeight="1" x14ac:dyDescent="0.25">
      <c r="O101" s="39" t="s">
        <v>422</v>
      </c>
      <c r="P101" s="39" t="s">
        <v>427</v>
      </c>
      <c r="Q101" s="39" t="s">
        <v>428</v>
      </c>
      <c r="R101" s="39" t="s">
        <v>429</v>
      </c>
      <c r="S101" s="39" t="s">
        <v>430</v>
      </c>
      <c r="T101" s="39" t="s">
        <v>431</v>
      </c>
      <c r="U101" s="39" t="s">
        <v>432</v>
      </c>
      <c r="V101" s="39" t="s">
        <v>433</v>
      </c>
      <c r="W101" s="39"/>
      <c r="X101" s="39"/>
      <c r="Y101" s="39"/>
      <c r="Z101" s="39"/>
      <c r="AA101" s="39"/>
      <c r="AB101" s="39"/>
      <c r="AC101" s="39"/>
      <c r="AD101" s="39"/>
    </row>
    <row r="102" spans="15:30" ht="12" customHeight="1" x14ac:dyDescent="0.25">
      <c r="O102" s="39" t="s">
        <v>29</v>
      </c>
      <c r="P102" s="39" t="s">
        <v>23</v>
      </c>
      <c r="Q102" s="39" t="s">
        <v>31</v>
      </c>
      <c r="R102" s="39" t="s">
        <v>32</v>
      </c>
      <c r="S102" s="39" t="s">
        <v>25</v>
      </c>
      <c r="T102" s="39" t="s">
        <v>32</v>
      </c>
      <c r="U102" s="39">
        <v>4</v>
      </c>
      <c r="V102" s="39">
        <v>0.3</v>
      </c>
      <c r="W102" s="39">
        <v>0.24</v>
      </c>
      <c r="X102" s="39">
        <v>0.18</v>
      </c>
      <c r="Y102" s="39">
        <v>0.12</v>
      </c>
      <c r="Z102" s="39">
        <v>0.06</v>
      </c>
      <c r="AA102" s="39">
        <v>0</v>
      </c>
      <c r="AB102" s="39"/>
      <c r="AC102" s="39"/>
      <c r="AD102" s="39"/>
    </row>
    <row r="103" spans="15:30" ht="12" customHeight="1" x14ac:dyDescent="0.25"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</row>
    <row r="104" spans="15:30" ht="12" customHeight="1" x14ac:dyDescent="0.25"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</row>
    <row r="105" spans="15:30" ht="12" customHeight="1" x14ac:dyDescent="0.25"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</row>
    <row r="106" spans="15:30" ht="12" customHeight="1" x14ac:dyDescent="0.25"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</row>
    <row r="107" spans="15:30" ht="12" customHeight="1" x14ac:dyDescent="0.25"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</row>
    <row r="108" spans="15:30" ht="12" customHeight="1" x14ac:dyDescent="0.25"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</row>
    <row r="109" spans="15:30" ht="12" customHeight="1" x14ac:dyDescent="0.25"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</row>
    <row r="110" spans="15:30" ht="12" customHeight="1" x14ac:dyDescent="0.25"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</row>
    <row r="111" spans="15:30" ht="12" customHeight="1" x14ac:dyDescent="0.25"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</row>
    <row r="112" spans="15:30" ht="12" customHeight="1" x14ac:dyDescent="0.25"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</row>
    <row r="113" spans="15:30" ht="12" customHeight="1" x14ac:dyDescent="0.25"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</row>
    <row r="114" spans="15:30" ht="12" customHeight="1" x14ac:dyDescent="0.25"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15:30" ht="12" customHeight="1" x14ac:dyDescent="0.25"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</row>
    <row r="116" spans="15:30" ht="12" customHeight="1" x14ac:dyDescent="0.25"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</row>
    <row r="117" spans="15:30" ht="12" customHeight="1" x14ac:dyDescent="0.25"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</row>
    <row r="118" spans="15:30" ht="12" customHeight="1" x14ac:dyDescent="0.25"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</row>
    <row r="119" spans="15:30" ht="12" customHeight="1" x14ac:dyDescent="0.25"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</row>
    <row r="120" spans="15:30" ht="12" customHeight="1" x14ac:dyDescent="0.25"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</row>
    <row r="121" spans="15:30" ht="12" customHeight="1" x14ac:dyDescent="0.25"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</row>
    <row r="122" spans="15:30" ht="12" customHeight="1" x14ac:dyDescent="0.25"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15:30" ht="12" customHeight="1" x14ac:dyDescent="0.25"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</row>
    <row r="124" spans="15:30" ht="12" customHeight="1" x14ac:dyDescent="0.25"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</row>
    <row r="125" spans="15:30" ht="12" customHeight="1" x14ac:dyDescent="0.25"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</row>
    <row r="126" spans="15:30" ht="12" customHeight="1" x14ac:dyDescent="0.25"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</row>
    <row r="127" spans="15:30" ht="12" customHeight="1" x14ac:dyDescent="0.25"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</row>
    <row r="128" spans="15:30" ht="12" customHeight="1" x14ac:dyDescent="0.25"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</row>
    <row r="129" spans="15:30" ht="12" customHeight="1" x14ac:dyDescent="0.25"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</row>
    <row r="130" spans="15:30" ht="12" customHeight="1" x14ac:dyDescent="0.25"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</row>
    <row r="131" spans="15:30" ht="12" customHeight="1" x14ac:dyDescent="0.25"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</row>
    <row r="132" spans="15:30" ht="12" customHeight="1" x14ac:dyDescent="0.25"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</row>
    <row r="133" spans="15:30" ht="12" customHeight="1" x14ac:dyDescent="0.25"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</row>
    <row r="134" spans="15:30" ht="12" customHeight="1" x14ac:dyDescent="0.25"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</row>
    <row r="135" spans="15:30" ht="12" customHeight="1" x14ac:dyDescent="0.25"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</row>
    <row r="136" spans="15:30" ht="12" customHeight="1" x14ac:dyDescent="0.25"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</row>
    <row r="137" spans="15:30" ht="12" customHeight="1" x14ac:dyDescent="0.25"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</row>
    <row r="138" spans="15:30" ht="12" customHeight="1" x14ac:dyDescent="0.25"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</row>
    <row r="139" spans="15:30" ht="12" customHeight="1" x14ac:dyDescent="0.25"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</row>
    <row r="140" spans="15:30" ht="12" customHeight="1" x14ac:dyDescent="0.25"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 spans="15:30" ht="12" customHeight="1" x14ac:dyDescent="0.25"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 spans="15:30" ht="12" customHeight="1" x14ac:dyDescent="0.25"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 spans="15:30" ht="12" customHeight="1" x14ac:dyDescent="0.25"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 spans="15:30" ht="12" customHeight="1" x14ac:dyDescent="0.25"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 spans="15:30" ht="12" customHeight="1" x14ac:dyDescent="0.25"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 spans="15:30" ht="12" customHeight="1" x14ac:dyDescent="0.25"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 spans="15:30" ht="12" customHeight="1" x14ac:dyDescent="0.25"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 spans="15:30" ht="12" customHeight="1" x14ac:dyDescent="0.25"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5:30" ht="12" customHeight="1" x14ac:dyDescent="0.25"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 spans="15:30" ht="12" customHeight="1" x14ac:dyDescent="0.25"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 spans="15:30" ht="12" customHeight="1" x14ac:dyDescent="0.25"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 spans="15:30" ht="12" customHeight="1" x14ac:dyDescent="0.25"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 spans="15:30" ht="12" customHeight="1" x14ac:dyDescent="0.25"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</row>
    <row r="154" spans="15:30" ht="12" customHeight="1" x14ac:dyDescent="0.25"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</row>
    <row r="155" spans="15:30" ht="12" customHeight="1" x14ac:dyDescent="0.25"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</row>
    <row r="156" spans="15:30" ht="12" customHeight="1" x14ac:dyDescent="0.25"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</row>
    <row r="157" spans="15:30" ht="12" customHeight="1" x14ac:dyDescent="0.25"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15:30" ht="12" customHeight="1" x14ac:dyDescent="0.25"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</row>
    <row r="159" spans="15:30" ht="12" customHeight="1" x14ac:dyDescent="0.25"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</row>
    <row r="160" spans="15:30" ht="12" customHeight="1" x14ac:dyDescent="0.25"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15:30" ht="12" customHeight="1" x14ac:dyDescent="0.25"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</row>
    <row r="162" spans="15:30" ht="12" customHeight="1" x14ac:dyDescent="0.25"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</row>
    <row r="163" spans="15:30" ht="12" customHeight="1" x14ac:dyDescent="0.25"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</row>
    <row r="164" spans="15:30" ht="12" customHeight="1" x14ac:dyDescent="0.25"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</row>
    <row r="165" spans="15:30" ht="12" customHeight="1" x14ac:dyDescent="0.25"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</row>
    <row r="166" spans="15:30" ht="12" customHeight="1" x14ac:dyDescent="0.25"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15:30" ht="12" customHeight="1" x14ac:dyDescent="0.25"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</row>
    <row r="168" spans="15:30" ht="12" customHeight="1" x14ac:dyDescent="0.25"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</row>
    <row r="169" spans="15:30" ht="12" customHeight="1" x14ac:dyDescent="0.25"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5:30" ht="12" customHeight="1" x14ac:dyDescent="0.25"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</row>
    <row r="171" spans="15:30" ht="12" customHeight="1" x14ac:dyDescent="0.25"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</row>
    <row r="172" spans="15:30" ht="12" customHeight="1" x14ac:dyDescent="0.25"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</row>
    <row r="173" spans="15:30" ht="12" customHeight="1" x14ac:dyDescent="0.25"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</row>
    <row r="174" spans="15:30" ht="12" customHeight="1" x14ac:dyDescent="0.25"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15:30" ht="12" customHeight="1" x14ac:dyDescent="0.25"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</row>
    <row r="176" spans="15:30" ht="12" customHeight="1" x14ac:dyDescent="0.25"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15:30" ht="12" customHeight="1" x14ac:dyDescent="0.25"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</row>
    <row r="178" spans="15:30" ht="12" customHeight="1" x14ac:dyDescent="0.25"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</row>
    <row r="179" spans="15:30" ht="12" customHeight="1" x14ac:dyDescent="0.25"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15:30" ht="12" customHeight="1" x14ac:dyDescent="0.25"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15:30" ht="12" customHeight="1" x14ac:dyDescent="0.25"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15:30" ht="12" customHeight="1" x14ac:dyDescent="0.25"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15:30" ht="12" customHeight="1" x14ac:dyDescent="0.25"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15:30" ht="12" customHeight="1" x14ac:dyDescent="0.25"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</row>
    <row r="185" spans="15:30" ht="12" customHeight="1" x14ac:dyDescent="0.25"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</row>
    <row r="186" spans="15:30" ht="12" customHeight="1" x14ac:dyDescent="0.25"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</row>
    <row r="187" spans="15:30" ht="12" customHeight="1" x14ac:dyDescent="0.25"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</row>
    <row r="188" spans="15:30" ht="12" customHeight="1" x14ac:dyDescent="0.25"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</row>
    <row r="189" spans="15:30" ht="12" customHeight="1" x14ac:dyDescent="0.25"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</row>
    <row r="190" spans="15:30" ht="12" customHeight="1" x14ac:dyDescent="0.25"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</row>
    <row r="191" spans="15:30" ht="12" customHeight="1" x14ac:dyDescent="0.25"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</row>
    <row r="192" spans="15:30" ht="12" customHeight="1" x14ac:dyDescent="0.25"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</row>
    <row r="193" spans="15:30" ht="12" customHeight="1" x14ac:dyDescent="0.25"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</row>
    <row r="194" spans="15:30" ht="12" customHeight="1" x14ac:dyDescent="0.25"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</row>
    <row r="195" spans="15:30" ht="12" customHeight="1" x14ac:dyDescent="0.25"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</row>
    <row r="196" spans="15:30" ht="12" customHeight="1" x14ac:dyDescent="0.25"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</row>
    <row r="197" spans="15:30" ht="12" customHeight="1" x14ac:dyDescent="0.25"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</row>
    <row r="198" spans="15:30" ht="12" customHeight="1" x14ac:dyDescent="0.25"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</row>
    <row r="199" spans="15:30" ht="12" customHeight="1" x14ac:dyDescent="0.25"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</row>
    <row r="200" spans="15:30" ht="12" customHeight="1" x14ac:dyDescent="0.25"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</row>
  </sheetData>
  <mergeCells count="19">
    <mergeCell ref="B36:B37"/>
    <mergeCell ref="B38:B41"/>
    <mergeCell ref="B42:B43"/>
    <mergeCell ref="B44:B45"/>
    <mergeCell ref="B46:C46"/>
    <mergeCell ref="O1:U1"/>
    <mergeCell ref="A48:C48"/>
    <mergeCell ref="A49:C49"/>
    <mergeCell ref="A47:C47"/>
    <mergeCell ref="L1:M1"/>
    <mergeCell ref="A2:A29"/>
    <mergeCell ref="A30:A46"/>
    <mergeCell ref="B2:B10"/>
    <mergeCell ref="B11:B18"/>
    <mergeCell ref="B19:B20"/>
    <mergeCell ref="B21:B23"/>
    <mergeCell ref="B24:B28"/>
    <mergeCell ref="B29:C29"/>
    <mergeCell ref="B30:B35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E7D2-B595-420F-921F-BB999151F531}">
  <sheetPr codeName="Planilha7"/>
  <dimension ref="A1:AP51"/>
  <sheetViews>
    <sheetView showGridLines="0" topLeftCell="A35" workbookViewId="0">
      <selection activeCell="K62" sqref="K62:P62"/>
    </sheetView>
  </sheetViews>
  <sheetFormatPr defaultColWidth="9.140625"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10.42578125" style="9" bestFit="1" customWidth="1"/>
    <col min="14" max="14" width="11.7109375" style="9" bestFit="1" customWidth="1"/>
    <col min="15" max="16" width="9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570312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04" t="s">
        <v>49</v>
      </c>
      <c r="B1" s="104" t="s">
        <v>50</v>
      </c>
      <c r="C1" s="104" t="s">
        <v>51</v>
      </c>
      <c r="D1" s="104" t="s">
        <v>52</v>
      </c>
      <c r="E1" s="104" t="s">
        <v>53</v>
      </c>
      <c r="F1" s="104" t="s">
        <v>15</v>
      </c>
      <c r="G1" s="104" t="s">
        <v>55</v>
      </c>
      <c r="H1" s="104" t="s">
        <v>56</v>
      </c>
      <c r="I1" s="104" t="s">
        <v>365</v>
      </c>
      <c r="J1" s="96"/>
      <c r="L1" s="105" t="s">
        <v>366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P1" s="105" t="s">
        <v>367</v>
      </c>
    </row>
    <row r="2" spans="1:42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6"/>
      <c r="L2" s="105" t="s">
        <v>263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P2" s="106"/>
    </row>
    <row r="3" spans="1:42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6"/>
      <c r="L3" s="105" t="s">
        <v>264</v>
      </c>
      <c r="M3" s="105"/>
      <c r="N3" s="105"/>
      <c r="O3" s="105"/>
      <c r="P3" s="105"/>
      <c r="Q3" s="105"/>
      <c r="R3" s="105"/>
      <c r="S3" s="105"/>
      <c r="T3" s="105"/>
      <c r="U3" s="105" t="s">
        <v>273</v>
      </c>
      <c r="V3" s="105"/>
      <c r="W3" s="105"/>
      <c r="X3" s="105"/>
      <c r="Y3" s="105"/>
      <c r="Z3" s="105"/>
      <c r="AA3" s="105"/>
      <c r="AB3" s="105"/>
      <c r="AC3" s="105" t="s">
        <v>281</v>
      </c>
      <c r="AD3" s="105"/>
      <c r="AE3" s="105" t="s">
        <v>283</v>
      </c>
      <c r="AF3" s="105"/>
      <c r="AG3" s="105"/>
      <c r="AH3" s="105" t="s">
        <v>286</v>
      </c>
      <c r="AI3" s="105"/>
      <c r="AJ3" s="105"/>
      <c r="AK3" s="105"/>
      <c r="AL3" s="105"/>
      <c r="AM3" s="105" t="s">
        <v>272</v>
      </c>
      <c r="AP3" s="106"/>
    </row>
    <row r="4" spans="1:42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6"/>
      <c r="L4" s="10" t="s">
        <v>349</v>
      </c>
      <c r="M4" s="10" t="s">
        <v>265</v>
      </c>
      <c r="N4" s="10" t="s">
        <v>266</v>
      </c>
      <c r="O4" s="10" t="s">
        <v>267</v>
      </c>
      <c r="P4" s="10" t="s">
        <v>268</v>
      </c>
      <c r="Q4" s="10" t="s">
        <v>269</v>
      </c>
      <c r="R4" s="10" t="s">
        <v>270</v>
      </c>
      <c r="S4" s="10" t="s">
        <v>271</v>
      </c>
      <c r="T4" s="10" t="s">
        <v>272</v>
      </c>
      <c r="U4" s="10" t="s">
        <v>274</v>
      </c>
      <c r="V4" s="10" t="s">
        <v>275</v>
      </c>
      <c r="W4" s="10" t="s">
        <v>276</v>
      </c>
      <c r="X4" s="10" t="s">
        <v>277</v>
      </c>
      <c r="Y4" s="10" t="s">
        <v>278</v>
      </c>
      <c r="Z4" s="10" t="s">
        <v>279</v>
      </c>
      <c r="AA4" s="10" t="s">
        <v>280</v>
      </c>
      <c r="AB4" s="10" t="s">
        <v>272</v>
      </c>
      <c r="AC4" s="10" t="s">
        <v>282</v>
      </c>
      <c r="AD4" s="10" t="s">
        <v>272</v>
      </c>
      <c r="AE4" s="10" t="s">
        <v>284</v>
      </c>
      <c r="AF4" s="10" t="s">
        <v>285</v>
      </c>
      <c r="AG4" s="10" t="s">
        <v>272</v>
      </c>
      <c r="AH4" s="10" t="s">
        <v>287</v>
      </c>
      <c r="AI4" s="10" t="s">
        <v>288</v>
      </c>
      <c r="AJ4" s="10" t="s">
        <v>289</v>
      </c>
      <c r="AK4" s="10" t="s">
        <v>290</v>
      </c>
      <c r="AL4" s="10" t="s">
        <v>272</v>
      </c>
      <c r="AM4" s="107"/>
      <c r="AP4" s="106"/>
    </row>
    <row r="5" spans="1:42" ht="11.25" customHeight="1" x14ac:dyDescent="0.25">
      <c r="A5" s="103" t="s">
        <v>58</v>
      </c>
      <c r="B5" s="103" t="s">
        <v>63</v>
      </c>
      <c r="C5" s="103" t="s">
        <v>25</v>
      </c>
      <c r="D5" s="103" t="s">
        <v>25</v>
      </c>
      <c r="E5" s="103" t="s">
        <v>25</v>
      </c>
      <c r="F5" s="103" t="s">
        <v>25</v>
      </c>
      <c r="G5" s="24" t="s">
        <v>65</v>
      </c>
      <c r="H5" s="24" t="s">
        <v>64</v>
      </c>
      <c r="I5" s="24">
        <f>'MERCADO TUSD'!$U$2+0.00000001</f>
        <v>1E-8</v>
      </c>
      <c r="J5" s="15"/>
      <c r="L5" s="13"/>
      <c r="M5" s="13"/>
      <c r="N5" s="13"/>
      <c r="O5" s="13"/>
      <c r="P5" s="13"/>
      <c r="Q5" s="13"/>
      <c r="R5" s="13"/>
      <c r="S5" s="13"/>
      <c r="T5" s="13"/>
      <c r="U5" s="13">
        <v>0</v>
      </c>
      <c r="V5" s="13">
        <v>0</v>
      </c>
      <c r="W5" s="13">
        <v>0</v>
      </c>
      <c r="X5" s="13">
        <v>0</v>
      </c>
      <c r="Y5" s="13">
        <v>42.0364</v>
      </c>
      <c r="Z5" s="13">
        <v>0</v>
      </c>
      <c r="AA5" s="13">
        <v>0</v>
      </c>
      <c r="AB5" s="13"/>
      <c r="AC5" s="13">
        <v>106.9922</v>
      </c>
      <c r="AD5" s="13"/>
      <c r="AE5" s="13"/>
      <c r="AF5" s="13"/>
      <c r="AG5" s="13"/>
      <c r="AH5" s="13"/>
      <c r="AI5" s="13"/>
      <c r="AJ5" s="13"/>
      <c r="AK5" s="13"/>
      <c r="AL5" s="13"/>
      <c r="AM5" s="13"/>
      <c r="AP5" s="13">
        <v>1</v>
      </c>
    </row>
    <row r="6" spans="1:42" ht="11.25" customHeight="1" x14ac:dyDescent="0.25">
      <c r="A6" s="103"/>
      <c r="B6" s="103"/>
      <c r="C6" s="103"/>
      <c r="D6" s="103"/>
      <c r="E6" s="103"/>
      <c r="F6" s="103"/>
      <c r="G6" s="24" t="s">
        <v>66</v>
      </c>
      <c r="H6" s="24" t="s">
        <v>64</v>
      </c>
      <c r="I6" s="24">
        <f>'MERCADO TUSD'!$U$3+0.00000001</f>
        <v>1E-8</v>
      </c>
      <c r="J6" s="15"/>
      <c r="L6" s="13"/>
      <c r="M6" s="13"/>
      <c r="N6" s="13"/>
      <c r="O6" s="13"/>
      <c r="P6" s="13"/>
      <c r="Q6" s="13"/>
      <c r="R6" s="13"/>
      <c r="S6" s="13"/>
      <c r="T6" s="13"/>
      <c r="U6" s="13">
        <v>0</v>
      </c>
      <c r="V6" s="13">
        <v>0</v>
      </c>
      <c r="W6" s="13">
        <v>0</v>
      </c>
      <c r="X6" s="13">
        <v>0</v>
      </c>
      <c r="Y6" s="13">
        <v>16.990600000000001</v>
      </c>
      <c r="Z6" s="13">
        <v>0</v>
      </c>
      <c r="AA6" s="13">
        <v>0</v>
      </c>
      <c r="AB6" s="13"/>
      <c r="AC6" s="13">
        <v>29.897200000000002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P6" s="13">
        <v>1</v>
      </c>
    </row>
    <row r="7" spans="1:42" ht="11.25" customHeight="1" x14ac:dyDescent="0.25">
      <c r="A7" s="103"/>
      <c r="B7" s="103"/>
      <c r="C7" s="103"/>
      <c r="D7" s="103"/>
      <c r="E7" s="103"/>
      <c r="F7" s="103"/>
      <c r="G7" s="24" t="s">
        <v>67</v>
      </c>
      <c r="H7" s="24" t="s">
        <v>60</v>
      </c>
      <c r="I7" s="24">
        <f>'MERCADO TUSD'!$U$4+0.00000001</f>
        <v>1E-8</v>
      </c>
      <c r="J7" s="15"/>
      <c r="L7" s="13"/>
      <c r="M7" s="13"/>
      <c r="N7" s="13"/>
      <c r="O7" s="13"/>
      <c r="P7" s="13"/>
      <c r="Q7" s="13"/>
      <c r="R7" s="13"/>
      <c r="S7" s="13"/>
      <c r="T7" s="13"/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/>
      <c r="AC7" s="13">
        <v>0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P7" s="13">
        <v>1</v>
      </c>
    </row>
    <row r="8" spans="1:42" ht="11.25" customHeight="1" x14ac:dyDescent="0.25">
      <c r="A8" s="103"/>
      <c r="B8" s="103"/>
      <c r="C8" s="103"/>
      <c r="D8" s="103"/>
      <c r="E8" s="23" t="s">
        <v>68</v>
      </c>
      <c r="F8" s="23" t="s">
        <v>25</v>
      </c>
      <c r="G8" s="24" t="s">
        <v>67</v>
      </c>
      <c r="H8" s="24" t="s">
        <v>60</v>
      </c>
      <c r="I8" s="24">
        <f>'MERCADO TUSD'!$U$5+0.00000001</f>
        <v>1E-8</v>
      </c>
      <c r="J8" s="15"/>
      <c r="L8" s="13"/>
      <c r="M8" s="13"/>
      <c r="N8" s="13"/>
      <c r="O8" s="13"/>
      <c r="P8" s="13"/>
      <c r="Q8" s="13"/>
      <c r="R8" s="13"/>
      <c r="S8" s="13"/>
      <c r="T8" s="13"/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/>
      <c r="AC8" s="13">
        <v>0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P8" s="13">
        <v>1</v>
      </c>
    </row>
    <row r="9" spans="1:42" ht="11.25" customHeight="1" x14ac:dyDescent="0.25">
      <c r="A9" s="103"/>
      <c r="B9" s="23" t="s">
        <v>69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64</v>
      </c>
      <c r="I9" s="24">
        <f>'MERCADO TUSD'!$U$6+0.00000001</f>
        <v>1E-8</v>
      </c>
      <c r="J9" s="15"/>
      <c r="L9" s="13"/>
      <c r="M9" s="13"/>
      <c r="N9" s="13"/>
      <c r="O9" s="13"/>
      <c r="P9" s="13"/>
      <c r="Q9" s="13"/>
      <c r="R9" s="13"/>
      <c r="S9" s="13"/>
      <c r="T9" s="13"/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/>
      <c r="AC9" s="13">
        <v>13.525600000000001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P9" s="13"/>
    </row>
    <row r="10" spans="1:42" ht="11.25" customHeight="1" x14ac:dyDescent="0.25">
      <c r="A10" s="103"/>
      <c r="B10" s="103" t="s">
        <v>70</v>
      </c>
      <c r="C10" s="103" t="s">
        <v>25</v>
      </c>
      <c r="D10" s="103" t="s">
        <v>25</v>
      </c>
      <c r="E10" s="103" t="s">
        <v>25</v>
      </c>
      <c r="F10" s="103" t="s">
        <v>25</v>
      </c>
      <c r="G10" s="24" t="s">
        <v>9</v>
      </c>
      <c r="H10" s="24" t="s">
        <v>64</v>
      </c>
      <c r="I10" s="24">
        <f>'MERCADO TUSD'!$U$7+0.00000001</f>
        <v>1E-8</v>
      </c>
      <c r="J10" s="15"/>
      <c r="L10" s="13"/>
      <c r="M10" s="13"/>
      <c r="N10" s="13"/>
      <c r="O10" s="13"/>
      <c r="P10" s="13"/>
      <c r="Q10" s="13"/>
      <c r="R10" s="13"/>
      <c r="S10" s="13"/>
      <c r="T10" s="13"/>
      <c r="U10" s="13">
        <v>0</v>
      </c>
      <c r="V10" s="13">
        <v>0</v>
      </c>
      <c r="W10" s="13">
        <v>0</v>
      </c>
      <c r="X10" s="13">
        <v>0</v>
      </c>
      <c r="Y10" s="13">
        <v>16.990600000000001</v>
      </c>
      <c r="Z10" s="13">
        <v>0</v>
      </c>
      <c r="AA10" s="13">
        <v>0</v>
      </c>
      <c r="AB10" s="13"/>
      <c r="AC10" s="13">
        <v>29.897200000000002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P10" s="13">
        <v>1</v>
      </c>
    </row>
    <row r="11" spans="1:42" ht="11.25" customHeight="1" x14ac:dyDescent="0.25">
      <c r="A11" s="103"/>
      <c r="B11" s="103"/>
      <c r="C11" s="103"/>
      <c r="D11" s="103"/>
      <c r="E11" s="103"/>
      <c r="F11" s="103"/>
      <c r="G11" s="24" t="s">
        <v>61</v>
      </c>
      <c r="H11" s="24" t="s">
        <v>60</v>
      </c>
      <c r="I11" s="24">
        <f>'MERCADO TUSD'!$U$8+0.00000001</f>
        <v>1E-8</v>
      </c>
      <c r="J11" s="15"/>
      <c r="L11" s="13"/>
      <c r="M11" s="13"/>
      <c r="N11" s="13"/>
      <c r="O11" s="13"/>
      <c r="P11" s="13"/>
      <c r="Q11" s="13"/>
      <c r="R11" s="13"/>
      <c r="S11" s="13"/>
      <c r="T11" s="13"/>
      <c r="U11" s="13">
        <v>0</v>
      </c>
      <c r="V11" s="13">
        <v>0</v>
      </c>
      <c r="W11" s="13">
        <v>0</v>
      </c>
      <c r="X11" s="13">
        <v>0</v>
      </c>
      <c r="Y11" s="13">
        <v>1011.3792</v>
      </c>
      <c r="Z11" s="13">
        <v>0</v>
      </c>
      <c r="AA11" s="13">
        <v>0</v>
      </c>
      <c r="AB11" s="13"/>
      <c r="AC11" s="13">
        <v>2573.1642999999999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P11" s="13">
        <v>1</v>
      </c>
    </row>
    <row r="12" spans="1:42" ht="11.25" customHeight="1" x14ac:dyDescent="0.25">
      <c r="A12" s="103"/>
      <c r="B12" s="103"/>
      <c r="C12" s="103"/>
      <c r="D12" s="103"/>
      <c r="E12" s="103"/>
      <c r="F12" s="103"/>
      <c r="G12" s="24" t="s">
        <v>62</v>
      </c>
      <c r="H12" s="24" t="s">
        <v>60</v>
      </c>
      <c r="I12" s="24">
        <f>'MERCADO TUSD'!$U$9+0.00000001</f>
        <v>1E-8</v>
      </c>
      <c r="J12" s="15"/>
      <c r="L12" s="13"/>
      <c r="M12" s="13"/>
      <c r="N12" s="13"/>
      <c r="O12" s="13"/>
      <c r="P12" s="13"/>
      <c r="Q12" s="13"/>
      <c r="R12" s="13"/>
      <c r="S12" s="13"/>
      <c r="T12" s="13"/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/>
      <c r="AC12" s="13">
        <v>0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P12" s="13">
        <v>1</v>
      </c>
    </row>
    <row r="13" spans="1:42" ht="11.25" customHeight="1" x14ac:dyDescent="0.25">
      <c r="A13" s="103"/>
      <c r="B13" s="103"/>
      <c r="C13" s="103"/>
      <c r="D13" s="103"/>
      <c r="E13" s="103" t="s">
        <v>68</v>
      </c>
      <c r="F13" s="103" t="s">
        <v>25</v>
      </c>
      <c r="G13" s="24" t="s">
        <v>61</v>
      </c>
      <c r="H13" s="24" t="s">
        <v>60</v>
      </c>
      <c r="I13" s="24">
        <f>'MERCADO TUSD'!$U$10+0.00000001</f>
        <v>1E-8</v>
      </c>
      <c r="J13" s="15"/>
      <c r="L13" s="13"/>
      <c r="M13" s="13"/>
      <c r="N13" s="13"/>
      <c r="O13" s="13"/>
      <c r="P13" s="13"/>
      <c r="Q13" s="13"/>
      <c r="R13" s="13"/>
      <c r="S13" s="13"/>
      <c r="T13" s="13"/>
      <c r="U13" s="13">
        <v>0</v>
      </c>
      <c r="V13" s="13">
        <v>0</v>
      </c>
      <c r="W13" s="13">
        <v>0</v>
      </c>
      <c r="X13" s="13">
        <v>0</v>
      </c>
      <c r="Y13" s="13">
        <v>1011.3792</v>
      </c>
      <c r="Z13" s="13">
        <v>0</v>
      </c>
      <c r="AA13" s="13">
        <v>0</v>
      </c>
      <c r="AB13" s="13"/>
      <c r="AC13" s="13">
        <v>2573.1642999999999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P13" s="13">
        <v>1</v>
      </c>
    </row>
    <row r="14" spans="1:42" ht="11.25" customHeight="1" x14ac:dyDescent="0.25">
      <c r="A14" s="103"/>
      <c r="B14" s="103"/>
      <c r="C14" s="103"/>
      <c r="D14" s="103"/>
      <c r="E14" s="103"/>
      <c r="F14" s="103"/>
      <c r="G14" s="24" t="s">
        <v>62</v>
      </c>
      <c r="H14" s="24" t="s">
        <v>60</v>
      </c>
      <c r="I14" s="24">
        <f>'MERCADO TUSD'!$U$11+0.00000001</f>
        <v>1E-8</v>
      </c>
      <c r="J14" s="15"/>
      <c r="L14" s="13"/>
      <c r="M14" s="13"/>
      <c r="N14" s="13"/>
      <c r="O14" s="13"/>
      <c r="P14" s="13"/>
      <c r="Q14" s="13"/>
      <c r="R14" s="13"/>
      <c r="S14" s="13"/>
      <c r="T14" s="13"/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/>
      <c r="AC14" s="13">
        <v>0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P14" s="13">
        <v>1</v>
      </c>
    </row>
    <row r="15" spans="1:42" ht="11.25" customHeight="1" x14ac:dyDescent="0.25">
      <c r="A15" s="103" t="s">
        <v>71</v>
      </c>
      <c r="B15" s="103" t="s">
        <v>69</v>
      </c>
      <c r="C15" s="103" t="s">
        <v>25</v>
      </c>
      <c r="D15" s="103" t="s">
        <v>25</v>
      </c>
      <c r="E15" s="23" t="s">
        <v>72</v>
      </c>
      <c r="F15" s="23" t="s">
        <v>25</v>
      </c>
      <c r="G15" s="24" t="s">
        <v>9</v>
      </c>
      <c r="H15" s="24" t="s">
        <v>64</v>
      </c>
      <c r="I15" s="24">
        <f>'MERCADO TUSD'!$U$12+0.00000001</f>
        <v>1E-8</v>
      </c>
      <c r="J15" s="15"/>
      <c r="L15" s="13"/>
      <c r="M15" s="13"/>
      <c r="N15" s="13"/>
      <c r="O15" s="13"/>
      <c r="P15" s="13"/>
      <c r="Q15" s="13"/>
      <c r="R15" s="13"/>
      <c r="S15" s="13"/>
      <c r="T15" s="13"/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/>
      <c r="AC15" s="13">
        <v>13.951499999999999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P15" s="13"/>
    </row>
    <row r="16" spans="1:42" ht="11.25" customHeight="1" x14ac:dyDescent="0.25">
      <c r="A16" s="103"/>
      <c r="B16" s="103"/>
      <c r="C16" s="103"/>
      <c r="D16" s="103"/>
      <c r="E16" s="23" t="s">
        <v>73</v>
      </c>
      <c r="F16" s="23" t="s">
        <v>25</v>
      </c>
      <c r="G16" s="24" t="s">
        <v>9</v>
      </c>
      <c r="H16" s="24" t="s">
        <v>64</v>
      </c>
      <c r="I16" s="24">
        <f>'MERCADO TUSD'!$U$13+0.00000001</f>
        <v>1E-8</v>
      </c>
      <c r="J16" s="15"/>
      <c r="L16" s="13"/>
      <c r="M16" s="13"/>
      <c r="N16" s="13"/>
      <c r="O16" s="13"/>
      <c r="P16" s="13"/>
      <c r="Q16" s="13"/>
      <c r="R16" s="13"/>
      <c r="S16" s="13"/>
      <c r="T16" s="13"/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/>
      <c r="AC16" s="13">
        <v>28.384799999999998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P16" s="13"/>
    </row>
    <row r="17" spans="1:42" ht="11.25" customHeight="1" x14ac:dyDescent="0.25">
      <c r="A17" s="103" t="s">
        <v>22</v>
      </c>
      <c r="B17" s="103" t="s">
        <v>76</v>
      </c>
      <c r="C17" s="103" t="s">
        <v>24</v>
      </c>
      <c r="D17" s="103" t="s">
        <v>24</v>
      </c>
      <c r="E17" s="103" t="s">
        <v>25</v>
      </c>
      <c r="F17" s="103" t="s">
        <v>25</v>
      </c>
      <c r="G17" s="24" t="s">
        <v>61</v>
      </c>
      <c r="H17" s="24" t="s">
        <v>60</v>
      </c>
      <c r="I17" s="24">
        <f>'MERCADO TUSD'!$U$14</f>
        <v>0</v>
      </c>
      <c r="J17" s="15"/>
      <c r="L17" s="13"/>
      <c r="M17" s="13"/>
      <c r="N17" s="13"/>
      <c r="O17" s="13"/>
      <c r="P17" s="13"/>
      <c r="Q17" s="13"/>
      <c r="R17" s="13"/>
      <c r="S17" s="13"/>
      <c r="T17" s="13"/>
      <c r="U17" s="13">
        <v>0</v>
      </c>
      <c r="V17" s="13">
        <v>0</v>
      </c>
      <c r="W17" s="13">
        <v>0</v>
      </c>
      <c r="X17" s="13">
        <v>0</v>
      </c>
      <c r="Y17" s="13">
        <v>370.27269999999999</v>
      </c>
      <c r="Z17" s="13">
        <v>0</v>
      </c>
      <c r="AA17" s="13">
        <v>0</v>
      </c>
      <c r="AB17" s="13"/>
      <c r="AC17" s="13">
        <v>1202.2574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P17" s="13">
        <v>1</v>
      </c>
    </row>
    <row r="18" spans="1:42" ht="11.25" customHeight="1" x14ac:dyDescent="0.25">
      <c r="A18" s="103"/>
      <c r="B18" s="103"/>
      <c r="C18" s="103"/>
      <c r="D18" s="103"/>
      <c r="E18" s="103"/>
      <c r="F18" s="103"/>
      <c r="G18" s="24" t="s">
        <v>74</v>
      </c>
      <c r="H18" s="24" t="s">
        <v>60</v>
      </c>
      <c r="I18" s="24">
        <f>'MERCADO TUSD'!$U$15</f>
        <v>0</v>
      </c>
      <c r="J18" s="15"/>
      <c r="L18" s="13"/>
      <c r="M18" s="13"/>
      <c r="N18" s="13"/>
      <c r="O18" s="13"/>
      <c r="P18" s="13"/>
      <c r="Q18" s="13"/>
      <c r="R18" s="13"/>
      <c r="S18" s="13"/>
      <c r="T18" s="13"/>
      <c r="U18" s="13">
        <v>0</v>
      </c>
      <c r="V18" s="13">
        <v>0</v>
      </c>
      <c r="W18" s="13">
        <v>0</v>
      </c>
      <c r="X18" s="13">
        <v>0</v>
      </c>
      <c r="Y18" s="13">
        <v>222.1636</v>
      </c>
      <c r="Z18" s="13">
        <v>0</v>
      </c>
      <c r="AA18" s="13">
        <v>0</v>
      </c>
      <c r="AB18" s="13"/>
      <c r="AC18" s="13">
        <v>721.35479999999995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P18" s="13">
        <v>1</v>
      </c>
    </row>
    <row r="19" spans="1:42" ht="11.25" customHeight="1" x14ac:dyDescent="0.25">
      <c r="A19" s="103"/>
      <c r="B19" s="103"/>
      <c r="C19" s="103"/>
      <c r="D19" s="103"/>
      <c r="E19" s="103"/>
      <c r="F19" s="103"/>
      <c r="G19" s="24" t="s">
        <v>62</v>
      </c>
      <c r="H19" s="24" t="s">
        <v>60</v>
      </c>
      <c r="I19" s="24">
        <f>'MERCADO TUSD'!$U$16</f>
        <v>0</v>
      </c>
      <c r="J19" s="15"/>
      <c r="L19" s="13"/>
      <c r="M19" s="13"/>
      <c r="N19" s="13"/>
      <c r="O19" s="13"/>
      <c r="P19" s="13"/>
      <c r="Q19" s="13"/>
      <c r="R19" s="13"/>
      <c r="S19" s="13"/>
      <c r="T19" s="13"/>
      <c r="U19" s="13">
        <v>0</v>
      </c>
      <c r="V19" s="13">
        <v>0</v>
      </c>
      <c r="W19" s="13">
        <v>0</v>
      </c>
      <c r="X19" s="13">
        <v>0</v>
      </c>
      <c r="Y19" s="13">
        <v>74.122200000000007</v>
      </c>
      <c r="Z19" s="13">
        <v>0</v>
      </c>
      <c r="AA19" s="13">
        <v>0</v>
      </c>
      <c r="AB19" s="13"/>
      <c r="AC19" s="13">
        <v>240.4513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P19" s="13">
        <v>1</v>
      </c>
    </row>
    <row r="20" spans="1:42" ht="11.25" customHeight="1" x14ac:dyDescent="0.25">
      <c r="A20" s="103"/>
      <c r="B20" s="103" t="s">
        <v>23</v>
      </c>
      <c r="C20" s="103" t="s">
        <v>24</v>
      </c>
      <c r="D20" s="23" t="s">
        <v>24</v>
      </c>
      <c r="E20" s="23" t="s">
        <v>25</v>
      </c>
      <c r="F20" s="23" t="s">
        <v>25</v>
      </c>
      <c r="G20" s="24" t="s">
        <v>67</v>
      </c>
      <c r="H20" s="24" t="s">
        <v>60</v>
      </c>
      <c r="I20" s="24">
        <f>'MERCADO TUSD'!$U$17</f>
        <v>3454.3520000000003</v>
      </c>
      <c r="J20" s="15"/>
      <c r="L20" s="13"/>
      <c r="M20" s="13"/>
      <c r="N20" s="13"/>
      <c r="O20" s="13"/>
      <c r="P20" s="13"/>
      <c r="Q20" s="13"/>
      <c r="R20" s="13"/>
      <c r="S20" s="13"/>
      <c r="T20" s="13"/>
      <c r="U20" s="13">
        <v>0</v>
      </c>
      <c r="V20" s="13">
        <v>0</v>
      </c>
      <c r="W20" s="13">
        <v>0</v>
      </c>
      <c r="X20" s="13">
        <v>0</v>
      </c>
      <c r="Y20" s="13">
        <v>137.0754</v>
      </c>
      <c r="Z20" s="13">
        <v>0</v>
      </c>
      <c r="AA20" s="13">
        <v>0</v>
      </c>
      <c r="AB20" s="13"/>
      <c r="AC20" s="13">
        <v>445.28059999999999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P20" s="13">
        <v>1</v>
      </c>
    </row>
    <row r="21" spans="1:42" ht="11.25" customHeight="1" x14ac:dyDescent="0.25">
      <c r="A21" s="103"/>
      <c r="B21" s="103"/>
      <c r="C21" s="103"/>
      <c r="D21" s="23" t="s">
        <v>41</v>
      </c>
      <c r="E21" s="23" t="s">
        <v>25</v>
      </c>
      <c r="F21" s="23" t="s">
        <v>25</v>
      </c>
      <c r="G21" s="24" t="s">
        <v>67</v>
      </c>
      <c r="H21" s="24" t="s">
        <v>60</v>
      </c>
      <c r="I21" s="24">
        <f>'MERCADO TUSD'!$U$18</f>
        <v>0.48000000000000009</v>
      </c>
      <c r="J21" s="15"/>
      <c r="L21" s="13"/>
      <c r="M21" s="13"/>
      <c r="N21" s="13"/>
      <c r="O21" s="13"/>
      <c r="P21" s="13"/>
      <c r="Q21" s="13"/>
      <c r="R21" s="13"/>
      <c r="S21" s="13"/>
      <c r="T21" s="13"/>
      <c r="U21" s="13">
        <v>0</v>
      </c>
      <c r="V21" s="13">
        <v>0</v>
      </c>
      <c r="W21" s="13">
        <v>0</v>
      </c>
      <c r="X21" s="13">
        <v>0</v>
      </c>
      <c r="Y21" s="13">
        <f>(1 - CUSTOS!$M$24)*137.0754</f>
        <v>137.0754</v>
      </c>
      <c r="Z21" s="13">
        <v>0</v>
      </c>
      <c r="AA21" s="13">
        <v>0</v>
      </c>
      <c r="AB21" s="13"/>
      <c r="AC21" s="13">
        <f>(1 - CUSTOS!$M$24)*445.2806</f>
        <v>445.28059999999999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P21" s="13">
        <f>IF((1 - CUSTOS!$M$24)&lt;&gt;0,1/(1 - CUSTOS!$M$24),1)</f>
        <v>1</v>
      </c>
    </row>
    <row r="22" spans="1:42" ht="11.25" customHeight="1" x14ac:dyDescent="0.25">
      <c r="A22" s="103"/>
      <c r="B22" s="103"/>
      <c r="C22" s="103"/>
      <c r="D22" s="23" t="s">
        <v>42</v>
      </c>
      <c r="E22" s="23" t="s">
        <v>25</v>
      </c>
      <c r="F22" s="23" t="s">
        <v>25</v>
      </c>
      <c r="G22" s="24" t="s">
        <v>67</v>
      </c>
      <c r="H22" s="24" t="s">
        <v>60</v>
      </c>
      <c r="I22" s="24">
        <f>'MERCADO TUSD'!$U$19</f>
        <v>7.3130000000000006</v>
      </c>
      <c r="J22" s="15"/>
      <c r="L22" s="13"/>
      <c r="M22" s="13"/>
      <c r="N22" s="13"/>
      <c r="O22" s="13"/>
      <c r="P22" s="13"/>
      <c r="Q22" s="13"/>
      <c r="R22" s="13"/>
      <c r="S22" s="13"/>
      <c r="T22" s="13"/>
      <c r="U22" s="13">
        <v>0</v>
      </c>
      <c r="V22" s="13">
        <v>0</v>
      </c>
      <c r="W22" s="13">
        <v>0</v>
      </c>
      <c r="X22" s="13">
        <v>0</v>
      </c>
      <c r="Y22" s="13">
        <f>(1 - CUSTOS!$M$25)*137.0754</f>
        <v>137.0754</v>
      </c>
      <c r="Z22" s="13">
        <v>0</v>
      </c>
      <c r="AA22" s="13">
        <v>0</v>
      </c>
      <c r="AB22" s="13"/>
      <c r="AC22" s="13">
        <f>(1 - CUSTOS!$M$25)*445.2806</f>
        <v>445.28059999999999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P22" s="13">
        <f>IF((1 - CUSTOS!$M$25)&lt;&gt;0,1/(1 - CUSTOS!$M$25),1)</f>
        <v>1</v>
      </c>
    </row>
    <row r="23" spans="1:42" ht="11.25" customHeight="1" x14ac:dyDescent="0.25">
      <c r="A23" s="103"/>
      <c r="B23" s="103"/>
      <c r="C23" s="103"/>
      <c r="D23" s="23" t="s">
        <v>39</v>
      </c>
      <c r="E23" s="23" t="s">
        <v>25</v>
      </c>
      <c r="F23" s="23" t="s">
        <v>25</v>
      </c>
      <c r="G23" s="24" t="s">
        <v>67</v>
      </c>
      <c r="H23" s="24" t="s">
        <v>60</v>
      </c>
      <c r="I23" s="24">
        <f>'MERCADO TUSD'!$U$20</f>
        <v>77.287999999999997</v>
      </c>
      <c r="J23" s="15"/>
      <c r="L23" s="13"/>
      <c r="M23" s="13"/>
      <c r="N23" s="13"/>
      <c r="O23" s="13"/>
      <c r="P23" s="13"/>
      <c r="Q23" s="13"/>
      <c r="R23" s="13"/>
      <c r="S23" s="13"/>
      <c r="T23" s="13"/>
      <c r="U23" s="13">
        <v>0</v>
      </c>
      <c r="V23" s="13">
        <v>0</v>
      </c>
      <c r="W23" s="13">
        <v>0</v>
      </c>
      <c r="X23" s="13">
        <v>0</v>
      </c>
      <c r="Y23" s="13">
        <f>(1 - CUSTOS!$M$26)*137.0754</f>
        <v>137.0754</v>
      </c>
      <c r="Z23" s="13">
        <v>0</v>
      </c>
      <c r="AA23" s="13">
        <v>0</v>
      </c>
      <c r="AB23" s="13"/>
      <c r="AC23" s="13">
        <f>(1 - CUSTOS!$M$26)*445.2806</f>
        <v>445.28059999999999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P23" s="13">
        <f>IF((1 - CUSTOS!$M$26)&lt;&gt;0,1/(1 - CUSTOS!$M$26),1)</f>
        <v>1</v>
      </c>
    </row>
    <row r="24" spans="1:42" ht="11.25" customHeight="1" x14ac:dyDescent="0.25">
      <c r="A24" s="103"/>
      <c r="B24" s="103"/>
      <c r="C24" s="103"/>
      <c r="D24" s="23" t="s">
        <v>40</v>
      </c>
      <c r="E24" s="23" t="s">
        <v>25</v>
      </c>
      <c r="F24" s="23" t="s">
        <v>25</v>
      </c>
      <c r="G24" s="24" t="s">
        <v>67</v>
      </c>
      <c r="H24" s="24" t="s">
        <v>60</v>
      </c>
      <c r="I24" s="24">
        <f>'MERCADO TUSD'!$U$21</f>
        <v>81.510999999999996</v>
      </c>
      <c r="J24" s="15"/>
      <c r="L24" s="13"/>
      <c r="M24" s="13"/>
      <c r="N24" s="13"/>
      <c r="O24" s="13"/>
      <c r="P24" s="13"/>
      <c r="Q24" s="13"/>
      <c r="R24" s="13"/>
      <c r="S24" s="13"/>
      <c r="T24" s="13"/>
      <c r="U24" s="13">
        <v>0</v>
      </c>
      <c r="V24" s="13">
        <v>0</v>
      </c>
      <c r="W24" s="13">
        <v>0</v>
      </c>
      <c r="X24" s="13">
        <v>0</v>
      </c>
      <c r="Y24" s="13">
        <f>(1 - CUSTOS!$M$27)*137.0754</f>
        <v>137.0754</v>
      </c>
      <c r="Z24" s="13">
        <v>0</v>
      </c>
      <c r="AA24" s="13">
        <v>0</v>
      </c>
      <c r="AB24" s="13"/>
      <c r="AC24" s="13">
        <f>(1 - CUSTOS!$M$27)*445.2806</f>
        <v>445.28059999999999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P24" s="13">
        <f>IF((1 - CUSTOS!$M$27)&lt;&gt;0,1/(1 - CUSTOS!$M$27),1)</f>
        <v>1</v>
      </c>
    </row>
    <row r="25" spans="1:42" ht="11.25" customHeight="1" x14ac:dyDescent="0.25">
      <c r="A25" s="103"/>
      <c r="B25" s="103" t="s">
        <v>78</v>
      </c>
      <c r="C25" s="103" t="s">
        <v>24</v>
      </c>
      <c r="D25" s="23" t="s">
        <v>24</v>
      </c>
      <c r="E25" s="23" t="s">
        <v>25</v>
      </c>
      <c r="F25" s="23" t="s">
        <v>25</v>
      </c>
      <c r="G25" s="24" t="s">
        <v>67</v>
      </c>
      <c r="H25" s="24" t="s">
        <v>60</v>
      </c>
      <c r="I25" s="24">
        <f>'MERCADO TUSD'!$U$22</f>
        <v>0</v>
      </c>
      <c r="J25" s="15"/>
      <c r="L25" s="13"/>
      <c r="M25" s="13"/>
      <c r="N25" s="13"/>
      <c r="O25" s="13"/>
      <c r="P25" s="13"/>
      <c r="Q25" s="13"/>
      <c r="R25" s="13"/>
      <c r="S25" s="13"/>
      <c r="T25" s="13"/>
      <c r="U25" s="13">
        <v>0</v>
      </c>
      <c r="V25" s="13">
        <v>0</v>
      </c>
      <c r="W25" s="13">
        <v>0</v>
      </c>
      <c r="X25" s="13">
        <v>0</v>
      </c>
      <c r="Y25" s="13">
        <v>137.0754</v>
      </c>
      <c r="Z25" s="13">
        <v>0</v>
      </c>
      <c r="AA25" s="13">
        <v>0</v>
      </c>
      <c r="AB25" s="13"/>
      <c r="AC25" s="13">
        <v>445.28059999999999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P25" s="13">
        <v>1</v>
      </c>
    </row>
    <row r="26" spans="1:42" ht="11.25" customHeight="1" x14ac:dyDescent="0.25">
      <c r="A26" s="103"/>
      <c r="B26" s="103"/>
      <c r="C26" s="103"/>
      <c r="D26" s="23" t="s">
        <v>41</v>
      </c>
      <c r="E26" s="23" t="s">
        <v>25</v>
      </c>
      <c r="F26" s="23" t="s">
        <v>25</v>
      </c>
      <c r="G26" s="24" t="s">
        <v>67</v>
      </c>
      <c r="H26" s="24" t="s">
        <v>60</v>
      </c>
      <c r="I26" s="24">
        <f>'MERCADO TUSD'!$U$23</f>
        <v>0</v>
      </c>
      <c r="J26" s="15"/>
      <c r="L26" s="13"/>
      <c r="M26" s="13"/>
      <c r="N26" s="13"/>
      <c r="O26" s="13"/>
      <c r="P26" s="13"/>
      <c r="Q26" s="13"/>
      <c r="R26" s="13"/>
      <c r="S26" s="13"/>
      <c r="T26" s="13"/>
      <c r="U26" s="13">
        <v>0</v>
      </c>
      <c r="V26" s="13">
        <v>0</v>
      </c>
      <c r="W26" s="13">
        <v>0</v>
      </c>
      <c r="X26" s="13">
        <v>0</v>
      </c>
      <c r="Y26" s="13">
        <f>(1 - CUSTOS!$M$24)*137.0754</f>
        <v>137.0754</v>
      </c>
      <c r="Z26" s="13">
        <v>0</v>
      </c>
      <c r="AA26" s="13">
        <v>0</v>
      </c>
      <c r="AB26" s="13"/>
      <c r="AC26" s="13">
        <f>(1 - CUSTOS!$M$24)*445.2806</f>
        <v>445.28059999999999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P26" s="13">
        <f>IF((1 - CUSTOS!$M$24)&lt;&gt;0,1/(1 - CUSTOS!$M$24),1)</f>
        <v>1</v>
      </c>
    </row>
    <row r="27" spans="1:42" ht="11.25" customHeight="1" x14ac:dyDescent="0.25">
      <c r="A27" s="103"/>
      <c r="B27" s="103"/>
      <c r="C27" s="103"/>
      <c r="D27" s="23" t="s">
        <v>42</v>
      </c>
      <c r="E27" s="23" t="s">
        <v>25</v>
      </c>
      <c r="F27" s="23" t="s">
        <v>25</v>
      </c>
      <c r="G27" s="24" t="s">
        <v>67</v>
      </c>
      <c r="H27" s="24" t="s">
        <v>60</v>
      </c>
      <c r="I27" s="24">
        <f>'MERCADO TUSD'!$U$24</f>
        <v>0</v>
      </c>
      <c r="J27" s="15"/>
      <c r="L27" s="13"/>
      <c r="M27" s="13"/>
      <c r="N27" s="13"/>
      <c r="O27" s="13"/>
      <c r="P27" s="13"/>
      <c r="Q27" s="13"/>
      <c r="R27" s="13"/>
      <c r="S27" s="13"/>
      <c r="T27" s="13"/>
      <c r="U27" s="13">
        <v>0</v>
      </c>
      <c r="V27" s="13">
        <v>0</v>
      </c>
      <c r="W27" s="13">
        <v>0</v>
      </c>
      <c r="X27" s="13">
        <v>0</v>
      </c>
      <c r="Y27" s="13">
        <f>(1 - CUSTOS!$M$25)*137.0754</f>
        <v>137.0754</v>
      </c>
      <c r="Z27" s="13">
        <v>0</v>
      </c>
      <c r="AA27" s="13">
        <v>0</v>
      </c>
      <c r="AB27" s="13"/>
      <c r="AC27" s="13">
        <f>(1 - CUSTOS!$M$25)*445.2806</f>
        <v>445.28059999999999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P27" s="13">
        <f>IF((1 - CUSTOS!$M$25)&lt;&gt;0,1/(1 - CUSTOS!$M$25),1)</f>
        <v>1</v>
      </c>
    </row>
    <row r="28" spans="1:42" ht="11.25" customHeight="1" x14ac:dyDescent="0.25">
      <c r="A28" s="103"/>
      <c r="B28" s="103"/>
      <c r="C28" s="103"/>
      <c r="D28" s="23" t="s">
        <v>39</v>
      </c>
      <c r="E28" s="23" t="s">
        <v>25</v>
      </c>
      <c r="F28" s="23" t="s">
        <v>25</v>
      </c>
      <c r="G28" s="24" t="s">
        <v>67</v>
      </c>
      <c r="H28" s="24" t="s">
        <v>60</v>
      </c>
      <c r="I28" s="24">
        <f>'MERCADO TUSD'!$U$25</f>
        <v>0</v>
      </c>
      <c r="J28" s="15"/>
      <c r="L28" s="13"/>
      <c r="M28" s="13"/>
      <c r="N28" s="13"/>
      <c r="O28" s="13"/>
      <c r="P28" s="13"/>
      <c r="Q28" s="13"/>
      <c r="R28" s="13"/>
      <c r="S28" s="13"/>
      <c r="T28" s="13"/>
      <c r="U28" s="13">
        <v>0</v>
      </c>
      <c r="V28" s="13">
        <v>0</v>
      </c>
      <c r="W28" s="13">
        <v>0</v>
      </c>
      <c r="X28" s="13">
        <v>0</v>
      </c>
      <c r="Y28" s="13">
        <f>(1 - CUSTOS!$M$26)*137.0754</f>
        <v>137.0754</v>
      </c>
      <c r="Z28" s="13">
        <v>0</v>
      </c>
      <c r="AA28" s="13">
        <v>0</v>
      </c>
      <c r="AB28" s="13"/>
      <c r="AC28" s="13">
        <f>(1 - CUSTOS!$M$26)*445.2806</f>
        <v>445.28059999999999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P28" s="13">
        <f>IF((1 - CUSTOS!$M$26)&lt;&gt;0,1/(1 - CUSTOS!$M$26),1)</f>
        <v>1</v>
      </c>
    </row>
    <row r="29" spans="1:42" ht="11.25" customHeight="1" x14ac:dyDescent="0.25">
      <c r="A29" s="103"/>
      <c r="B29" s="103"/>
      <c r="C29" s="103"/>
      <c r="D29" s="23" t="s">
        <v>40</v>
      </c>
      <c r="E29" s="23" t="s">
        <v>25</v>
      </c>
      <c r="F29" s="23" t="s">
        <v>25</v>
      </c>
      <c r="G29" s="24" t="s">
        <v>67</v>
      </c>
      <c r="H29" s="24" t="s">
        <v>60</v>
      </c>
      <c r="I29" s="24">
        <f>'MERCADO TUSD'!$U$26</f>
        <v>0</v>
      </c>
      <c r="J29" s="15"/>
      <c r="L29" s="13"/>
      <c r="M29" s="13"/>
      <c r="N29" s="13"/>
      <c r="O29" s="13"/>
      <c r="P29" s="13"/>
      <c r="Q29" s="13"/>
      <c r="R29" s="13"/>
      <c r="S29" s="13"/>
      <c r="T29" s="13"/>
      <c r="U29" s="13">
        <v>0</v>
      </c>
      <c r="V29" s="13">
        <v>0</v>
      </c>
      <c r="W29" s="13">
        <v>0</v>
      </c>
      <c r="X29" s="13">
        <v>0</v>
      </c>
      <c r="Y29" s="13">
        <f>(1 - CUSTOS!$M$27)*137.0754</f>
        <v>137.0754</v>
      </c>
      <c r="Z29" s="13">
        <v>0</v>
      </c>
      <c r="AA29" s="13">
        <v>0</v>
      </c>
      <c r="AB29" s="13"/>
      <c r="AC29" s="13">
        <f>(1 - CUSTOS!$M$27)*445.2806</f>
        <v>445.28059999999999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P29" s="13">
        <f>IF((1 - CUSTOS!$M$27)&lt;&gt;0,1/(1 - CUSTOS!$M$27),1)</f>
        <v>1</v>
      </c>
    </row>
    <row r="30" spans="1:42" ht="11.25" customHeight="1" x14ac:dyDescent="0.25">
      <c r="A30" s="103" t="s">
        <v>31</v>
      </c>
      <c r="B30" s="103" t="s">
        <v>76</v>
      </c>
      <c r="C30" s="103" t="s">
        <v>32</v>
      </c>
      <c r="D30" s="103" t="s">
        <v>25</v>
      </c>
      <c r="E30" s="103" t="s">
        <v>25</v>
      </c>
      <c r="F30" s="103" t="s">
        <v>25</v>
      </c>
      <c r="G30" s="24" t="s">
        <v>61</v>
      </c>
      <c r="H30" s="24" t="s">
        <v>60</v>
      </c>
      <c r="I30" s="24">
        <f>'MERCADO TUSD'!$U$27</f>
        <v>0</v>
      </c>
      <c r="J30" s="15"/>
      <c r="L30" s="13"/>
      <c r="M30" s="13"/>
      <c r="N30" s="13"/>
      <c r="O30" s="13"/>
      <c r="P30" s="13"/>
      <c r="Q30" s="13"/>
      <c r="R30" s="13"/>
      <c r="S30" s="13"/>
      <c r="T30" s="13"/>
      <c r="U30" s="13">
        <v>0</v>
      </c>
      <c r="V30" s="13">
        <v>0</v>
      </c>
      <c r="W30" s="13">
        <v>0</v>
      </c>
      <c r="X30" s="13">
        <v>0</v>
      </c>
      <c r="Y30" s="13">
        <f>(1 - CUSTOS!$M$28)*404.3892</f>
        <v>404.38920000000002</v>
      </c>
      <c r="Z30" s="13">
        <v>0</v>
      </c>
      <c r="AA30" s="13">
        <v>0</v>
      </c>
      <c r="AB30" s="13"/>
      <c r="AC30" s="13">
        <f>(1 - CUSTOS!$M$28)*1313.5778</f>
        <v>1313.5778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P30" s="13">
        <f>IF((1 - CUSTOS!$M$28)&lt;&gt;0,1/(1 - CUSTOS!$M$28),1)</f>
        <v>1</v>
      </c>
    </row>
    <row r="31" spans="1:42" ht="11.25" customHeight="1" x14ac:dyDescent="0.25">
      <c r="A31" s="103"/>
      <c r="B31" s="103"/>
      <c r="C31" s="103"/>
      <c r="D31" s="103"/>
      <c r="E31" s="103"/>
      <c r="F31" s="103"/>
      <c r="G31" s="24" t="s">
        <v>74</v>
      </c>
      <c r="H31" s="24" t="s">
        <v>60</v>
      </c>
      <c r="I31" s="24">
        <f>'MERCADO TUSD'!$U$28</f>
        <v>0</v>
      </c>
      <c r="J31" s="15"/>
      <c r="L31" s="13"/>
      <c r="M31" s="13"/>
      <c r="N31" s="13"/>
      <c r="O31" s="13"/>
      <c r="P31" s="13"/>
      <c r="Q31" s="13"/>
      <c r="R31" s="13"/>
      <c r="S31" s="13"/>
      <c r="T31" s="13"/>
      <c r="U31" s="13">
        <v>0</v>
      </c>
      <c r="V31" s="13">
        <v>0</v>
      </c>
      <c r="W31" s="13">
        <v>0</v>
      </c>
      <c r="X31" s="13">
        <v>0</v>
      </c>
      <c r="Y31" s="13">
        <f>(1 - CUSTOS!$M$28)*242.6065</f>
        <v>242.60650000000001</v>
      </c>
      <c r="Z31" s="13">
        <v>0</v>
      </c>
      <c r="AA31" s="13">
        <v>0</v>
      </c>
      <c r="AB31" s="13"/>
      <c r="AC31" s="13">
        <f>(1 - CUSTOS!$M$28)*788.1464</f>
        <v>788.14639999999997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P31" s="13">
        <f>IF((1 - CUSTOS!$M$28)&lt;&gt;0,1/(1 - CUSTOS!$M$28),1)</f>
        <v>1</v>
      </c>
    </row>
    <row r="32" spans="1:42" ht="11.25" customHeight="1" x14ac:dyDescent="0.25">
      <c r="A32" s="103"/>
      <c r="B32" s="103"/>
      <c r="C32" s="103"/>
      <c r="D32" s="103"/>
      <c r="E32" s="103"/>
      <c r="F32" s="103"/>
      <c r="G32" s="24" t="s">
        <v>62</v>
      </c>
      <c r="H32" s="24" t="s">
        <v>60</v>
      </c>
      <c r="I32" s="24">
        <f>'MERCADO TUSD'!$U$29</f>
        <v>0</v>
      </c>
      <c r="J32" s="15"/>
      <c r="L32" s="13"/>
      <c r="M32" s="13"/>
      <c r="N32" s="13"/>
      <c r="O32" s="13"/>
      <c r="P32" s="13"/>
      <c r="Q32" s="13"/>
      <c r="R32" s="13"/>
      <c r="S32" s="13"/>
      <c r="T32" s="13"/>
      <c r="U32" s="13">
        <v>0</v>
      </c>
      <c r="V32" s="13">
        <v>0</v>
      </c>
      <c r="W32" s="13">
        <v>0</v>
      </c>
      <c r="X32" s="13">
        <v>0</v>
      </c>
      <c r="Y32" s="13">
        <f>(1 - CUSTOS!$M$28)*80.8237</f>
        <v>80.823700000000002</v>
      </c>
      <c r="Z32" s="13">
        <v>0</v>
      </c>
      <c r="AA32" s="13">
        <v>0</v>
      </c>
      <c r="AB32" s="13"/>
      <c r="AC32" s="13">
        <f>(1 - CUSTOS!$M$28)*262.7155</f>
        <v>262.71550000000002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P32" s="13">
        <f>IF((1 - CUSTOS!$M$28)&lt;&gt;0,1/(1 - CUSTOS!$M$28),1)</f>
        <v>1</v>
      </c>
    </row>
    <row r="33" spans="1:42" ht="11.25" customHeight="1" x14ac:dyDescent="0.25">
      <c r="A33" s="103"/>
      <c r="B33" s="23" t="s">
        <v>23</v>
      </c>
      <c r="C33" s="23" t="s">
        <v>32</v>
      </c>
      <c r="D33" s="23" t="s">
        <v>25</v>
      </c>
      <c r="E33" s="23" t="s">
        <v>25</v>
      </c>
      <c r="F33" s="23" t="s">
        <v>25</v>
      </c>
      <c r="G33" s="24" t="s">
        <v>67</v>
      </c>
      <c r="H33" s="24" t="s">
        <v>60</v>
      </c>
      <c r="I33" s="24">
        <f>'MERCADO TUSD'!$U$30</f>
        <v>6180.567</v>
      </c>
      <c r="J33" s="15"/>
      <c r="L33" s="13"/>
      <c r="M33" s="13"/>
      <c r="N33" s="13"/>
      <c r="O33" s="13"/>
      <c r="P33" s="13"/>
      <c r="Q33" s="13"/>
      <c r="R33" s="13"/>
      <c r="S33" s="13"/>
      <c r="T33" s="13"/>
      <c r="U33" s="13">
        <v>0</v>
      </c>
      <c r="V33" s="13">
        <v>0</v>
      </c>
      <c r="W33" s="13">
        <v>0</v>
      </c>
      <c r="X33" s="13">
        <v>0</v>
      </c>
      <c r="Y33" s="13">
        <f>(1 - CUSTOS!$M$28)*137.0754</f>
        <v>137.0754</v>
      </c>
      <c r="Z33" s="13">
        <v>0</v>
      </c>
      <c r="AA33" s="13">
        <v>0</v>
      </c>
      <c r="AB33" s="13"/>
      <c r="AC33" s="13">
        <f>(1 - CUSTOS!$M$28)*445.2806</f>
        <v>445.28059999999999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P33" s="13">
        <f>IF((1 - CUSTOS!$M$28)&lt;&gt;0,1/(1 - CUSTOS!$M$28),1)</f>
        <v>1</v>
      </c>
    </row>
    <row r="34" spans="1:42" ht="11.25" customHeight="1" x14ac:dyDescent="0.25">
      <c r="A34" s="103"/>
      <c r="B34" s="103" t="s">
        <v>76</v>
      </c>
      <c r="C34" s="103" t="s">
        <v>32</v>
      </c>
      <c r="D34" s="103" t="s">
        <v>79</v>
      </c>
      <c r="E34" s="103" t="s">
        <v>25</v>
      </c>
      <c r="F34" s="103" t="s">
        <v>25</v>
      </c>
      <c r="G34" s="24" t="s">
        <v>61</v>
      </c>
      <c r="H34" s="24" t="s">
        <v>60</v>
      </c>
      <c r="I34" s="24">
        <f>'MERCADO TUSD'!$U$31</f>
        <v>0</v>
      </c>
      <c r="J34" s="15"/>
      <c r="L34" s="13"/>
      <c r="M34" s="13"/>
      <c r="N34" s="13"/>
      <c r="O34" s="13"/>
      <c r="P34" s="13"/>
      <c r="Q34" s="13"/>
      <c r="R34" s="13"/>
      <c r="S34" s="13"/>
      <c r="T34" s="13"/>
      <c r="U34" s="13">
        <v>0</v>
      </c>
      <c r="V34" s="13">
        <v>0</v>
      </c>
      <c r="W34" s="13">
        <v>0</v>
      </c>
      <c r="X34" s="13">
        <v>0</v>
      </c>
      <c r="Y34" s="13">
        <f>(1 - CUSTOS!$M$29)*404.3892</f>
        <v>404.38920000000002</v>
      </c>
      <c r="Z34" s="13">
        <v>0</v>
      </c>
      <c r="AA34" s="13">
        <v>0</v>
      </c>
      <c r="AB34" s="13"/>
      <c r="AC34" s="13">
        <f>(1 - CUSTOS!$M$29)*1313.5778</f>
        <v>1313.5778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P34" s="13">
        <f>IF((1 - CUSTOS!$M$29)&lt;&gt;0,1/(1 - CUSTOS!$M$29),1)</f>
        <v>1</v>
      </c>
    </row>
    <row r="35" spans="1:42" ht="11.25" customHeight="1" x14ac:dyDescent="0.25">
      <c r="A35" s="103"/>
      <c r="B35" s="103"/>
      <c r="C35" s="103"/>
      <c r="D35" s="103"/>
      <c r="E35" s="103"/>
      <c r="F35" s="103"/>
      <c r="G35" s="24" t="s">
        <v>74</v>
      </c>
      <c r="H35" s="24" t="s">
        <v>60</v>
      </c>
      <c r="I35" s="24">
        <f>'MERCADO TUSD'!$U$32</f>
        <v>0</v>
      </c>
      <c r="J35" s="15"/>
      <c r="L35" s="13"/>
      <c r="M35" s="13"/>
      <c r="N35" s="13"/>
      <c r="O35" s="13"/>
      <c r="P35" s="13"/>
      <c r="Q35" s="13"/>
      <c r="R35" s="13"/>
      <c r="S35" s="13"/>
      <c r="T35" s="13"/>
      <c r="U35" s="13">
        <v>0</v>
      </c>
      <c r="V35" s="13">
        <v>0</v>
      </c>
      <c r="W35" s="13">
        <v>0</v>
      </c>
      <c r="X35" s="13">
        <v>0</v>
      </c>
      <c r="Y35" s="13">
        <f>(1 - CUSTOS!$M$29)*242.6065</f>
        <v>242.60650000000001</v>
      </c>
      <c r="Z35" s="13">
        <v>0</v>
      </c>
      <c r="AA35" s="13">
        <v>0</v>
      </c>
      <c r="AB35" s="13"/>
      <c r="AC35" s="13">
        <f>(1 - CUSTOS!$M$29)*788.1464</f>
        <v>788.14639999999997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P35" s="13">
        <f>IF((1 - CUSTOS!$M$29)&lt;&gt;0,1/(1 - CUSTOS!$M$29),1)</f>
        <v>1</v>
      </c>
    </row>
    <row r="36" spans="1:42" ht="11.25" customHeight="1" x14ac:dyDescent="0.25">
      <c r="A36" s="103"/>
      <c r="B36" s="103"/>
      <c r="C36" s="103"/>
      <c r="D36" s="103"/>
      <c r="E36" s="103"/>
      <c r="F36" s="103"/>
      <c r="G36" s="24" t="s">
        <v>62</v>
      </c>
      <c r="H36" s="24" t="s">
        <v>60</v>
      </c>
      <c r="I36" s="24">
        <f>'MERCADO TUSD'!$U$33</f>
        <v>0</v>
      </c>
      <c r="J36" s="15"/>
      <c r="L36" s="13"/>
      <c r="M36" s="13"/>
      <c r="N36" s="13"/>
      <c r="O36" s="13"/>
      <c r="P36" s="13"/>
      <c r="Q36" s="13"/>
      <c r="R36" s="13"/>
      <c r="S36" s="13"/>
      <c r="T36" s="13"/>
      <c r="U36" s="13">
        <v>0</v>
      </c>
      <c r="V36" s="13">
        <v>0</v>
      </c>
      <c r="W36" s="13">
        <v>0</v>
      </c>
      <c r="X36" s="13">
        <v>0</v>
      </c>
      <c r="Y36" s="13">
        <f>(1 - CUSTOS!$M$29)*80.8237</f>
        <v>80.823700000000002</v>
      </c>
      <c r="Z36" s="13">
        <v>0</v>
      </c>
      <c r="AA36" s="13">
        <v>0</v>
      </c>
      <c r="AB36" s="13"/>
      <c r="AC36" s="13">
        <f>(1 - CUSTOS!$M$29)*262.7155</f>
        <v>262.71550000000002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P36" s="13">
        <f>IF((1 - CUSTOS!$M$29)&lt;&gt;0,1/(1 - CUSTOS!$M$29),1)</f>
        <v>1</v>
      </c>
    </row>
    <row r="37" spans="1:42" ht="11.25" customHeight="1" x14ac:dyDescent="0.25">
      <c r="A37" s="103"/>
      <c r="B37" s="23" t="s">
        <v>23</v>
      </c>
      <c r="C37" s="23" t="s">
        <v>32</v>
      </c>
      <c r="D37" s="23" t="s">
        <v>79</v>
      </c>
      <c r="E37" s="23" t="s">
        <v>25</v>
      </c>
      <c r="F37" s="23" t="s">
        <v>25</v>
      </c>
      <c r="G37" s="24" t="s">
        <v>67</v>
      </c>
      <c r="H37" s="24" t="s">
        <v>60</v>
      </c>
      <c r="I37" s="24">
        <f>'MERCADO TUSD'!$U$34</f>
        <v>0</v>
      </c>
      <c r="J37" s="15"/>
      <c r="L37" s="13"/>
      <c r="M37" s="13"/>
      <c r="N37" s="13"/>
      <c r="O37" s="13"/>
      <c r="P37" s="13"/>
      <c r="Q37" s="13"/>
      <c r="R37" s="13"/>
      <c r="S37" s="13"/>
      <c r="T37" s="13"/>
      <c r="U37" s="13">
        <v>0</v>
      </c>
      <c r="V37" s="13">
        <v>0</v>
      </c>
      <c r="W37" s="13">
        <v>0</v>
      </c>
      <c r="X37" s="13">
        <v>0</v>
      </c>
      <c r="Y37" s="13">
        <f>(1 - CUSTOS!$M$29)*137.0754</f>
        <v>137.0754</v>
      </c>
      <c r="Z37" s="13">
        <v>0</v>
      </c>
      <c r="AA37" s="13">
        <v>0</v>
      </c>
      <c r="AB37" s="13"/>
      <c r="AC37" s="13">
        <f>(1 - CUSTOS!$M$29)*445.2806</f>
        <v>445.28059999999999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P37" s="13">
        <f>IF((1 - CUSTOS!$M$29)&lt;&gt;0,1/(1 - CUSTOS!$M$29),1)</f>
        <v>1</v>
      </c>
    </row>
    <row r="38" spans="1:42" ht="11.25" customHeight="1" x14ac:dyDescent="0.25">
      <c r="A38" s="103"/>
      <c r="B38" s="103" t="s">
        <v>76</v>
      </c>
      <c r="C38" s="103" t="s">
        <v>32</v>
      </c>
      <c r="D38" s="103" t="s">
        <v>80</v>
      </c>
      <c r="E38" s="103" t="s">
        <v>25</v>
      </c>
      <c r="F38" s="103" t="s">
        <v>25</v>
      </c>
      <c r="G38" s="24" t="s">
        <v>61</v>
      </c>
      <c r="H38" s="24" t="s">
        <v>60</v>
      </c>
      <c r="I38" s="24">
        <f>'MERCADO TUSD'!$U$35</f>
        <v>0</v>
      </c>
      <c r="J38" s="15"/>
      <c r="L38" s="13"/>
      <c r="M38" s="13"/>
      <c r="N38" s="13"/>
      <c r="O38" s="13"/>
      <c r="P38" s="13"/>
      <c r="Q38" s="13"/>
      <c r="R38" s="13"/>
      <c r="S38" s="13"/>
      <c r="T38" s="13"/>
      <c r="U38" s="13">
        <v>0</v>
      </c>
      <c r="V38" s="13">
        <v>0</v>
      </c>
      <c r="W38" s="13">
        <v>0</v>
      </c>
      <c r="X38" s="13">
        <v>0</v>
      </c>
      <c r="Y38" s="13">
        <f>(1 - CUSTOS!$M$30)*404.3892</f>
        <v>404.38920000000002</v>
      </c>
      <c r="Z38" s="13">
        <v>0</v>
      </c>
      <c r="AA38" s="13">
        <v>0</v>
      </c>
      <c r="AB38" s="13"/>
      <c r="AC38" s="13">
        <f>(1 - CUSTOS!$M$30)*1313.5778</f>
        <v>1313.5778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P38" s="13">
        <f>IF((1 - CUSTOS!$M$30)&lt;&gt;0,1/(1 - CUSTOS!$M$30),1)</f>
        <v>1</v>
      </c>
    </row>
    <row r="39" spans="1:42" ht="11.25" customHeight="1" x14ac:dyDescent="0.25">
      <c r="A39" s="103"/>
      <c r="B39" s="103"/>
      <c r="C39" s="103"/>
      <c r="D39" s="103"/>
      <c r="E39" s="103"/>
      <c r="F39" s="103"/>
      <c r="G39" s="24" t="s">
        <v>74</v>
      </c>
      <c r="H39" s="24" t="s">
        <v>60</v>
      </c>
      <c r="I39" s="24">
        <f>'MERCADO TUSD'!$U$36</f>
        <v>0</v>
      </c>
      <c r="J39" s="15"/>
      <c r="L39" s="13"/>
      <c r="M39" s="13"/>
      <c r="N39" s="13"/>
      <c r="O39" s="13"/>
      <c r="P39" s="13"/>
      <c r="Q39" s="13"/>
      <c r="R39" s="13"/>
      <c r="S39" s="13"/>
      <c r="T39" s="13"/>
      <c r="U39" s="13">
        <v>0</v>
      </c>
      <c r="V39" s="13">
        <v>0</v>
      </c>
      <c r="W39" s="13">
        <v>0</v>
      </c>
      <c r="X39" s="13">
        <v>0</v>
      </c>
      <c r="Y39" s="13">
        <f>(1 - CUSTOS!$M$30)*242.6065</f>
        <v>242.60650000000001</v>
      </c>
      <c r="Z39" s="13">
        <v>0</v>
      </c>
      <c r="AA39" s="13">
        <v>0</v>
      </c>
      <c r="AB39" s="13"/>
      <c r="AC39" s="13">
        <f>(1 - CUSTOS!$M$30)*788.1464</f>
        <v>788.14639999999997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P39" s="13">
        <f>IF((1 - CUSTOS!$M$30)&lt;&gt;0,1/(1 - CUSTOS!$M$30),1)</f>
        <v>1</v>
      </c>
    </row>
    <row r="40" spans="1:42" ht="11.25" customHeight="1" x14ac:dyDescent="0.25">
      <c r="A40" s="103"/>
      <c r="B40" s="103"/>
      <c r="C40" s="103"/>
      <c r="D40" s="103"/>
      <c r="E40" s="103"/>
      <c r="F40" s="103"/>
      <c r="G40" s="24" t="s">
        <v>62</v>
      </c>
      <c r="H40" s="24" t="s">
        <v>60</v>
      </c>
      <c r="I40" s="24">
        <f>'MERCADO TUSD'!$U$37</f>
        <v>0</v>
      </c>
      <c r="J40" s="15"/>
      <c r="L40" s="13"/>
      <c r="M40" s="13"/>
      <c r="N40" s="13"/>
      <c r="O40" s="13"/>
      <c r="P40" s="13"/>
      <c r="Q40" s="13"/>
      <c r="R40" s="13"/>
      <c r="S40" s="13"/>
      <c r="T40" s="13"/>
      <c r="U40" s="13">
        <v>0</v>
      </c>
      <c r="V40" s="13">
        <v>0</v>
      </c>
      <c r="W40" s="13">
        <v>0</v>
      </c>
      <c r="X40" s="13">
        <v>0</v>
      </c>
      <c r="Y40" s="13">
        <f>(1 - CUSTOS!$M$30)*80.8237</f>
        <v>80.823700000000002</v>
      </c>
      <c r="Z40" s="13">
        <v>0</v>
      </c>
      <c r="AA40" s="13">
        <v>0</v>
      </c>
      <c r="AB40" s="13"/>
      <c r="AC40" s="13">
        <f>(1 - CUSTOS!$M$30)*262.7155</f>
        <v>262.71550000000002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P40" s="13">
        <f>IF((1 - CUSTOS!$M$30)&lt;&gt;0,1/(1 - CUSTOS!$M$30),1)</f>
        <v>1</v>
      </c>
    </row>
    <row r="41" spans="1:42" ht="11.25" customHeight="1" x14ac:dyDescent="0.25">
      <c r="A41" s="103"/>
      <c r="B41" s="23" t="s">
        <v>23</v>
      </c>
      <c r="C41" s="23" t="s">
        <v>32</v>
      </c>
      <c r="D41" s="23" t="s">
        <v>80</v>
      </c>
      <c r="E41" s="23" t="s">
        <v>25</v>
      </c>
      <c r="F41" s="23" t="s">
        <v>25</v>
      </c>
      <c r="G41" s="24" t="s">
        <v>67</v>
      </c>
      <c r="H41" s="24" t="s">
        <v>60</v>
      </c>
      <c r="I41" s="24">
        <f>'MERCADO TUSD'!$U$38</f>
        <v>0</v>
      </c>
      <c r="J41" s="15"/>
      <c r="L41" s="13"/>
      <c r="M41" s="13"/>
      <c r="N41" s="13"/>
      <c r="O41" s="13"/>
      <c r="P41" s="13"/>
      <c r="Q41" s="13"/>
      <c r="R41" s="13"/>
      <c r="S41" s="13"/>
      <c r="T41" s="13"/>
      <c r="U41" s="13">
        <v>0</v>
      </c>
      <c r="V41" s="13">
        <v>0</v>
      </c>
      <c r="W41" s="13">
        <v>0</v>
      </c>
      <c r="X41" s="13">
        <v>0</v>
      </c>
      <c r="Y41" s="13">
        <f>(1 - CUSTOS!$M$30)*137.0754</f>
        <v>137.0754</v>
      </c>
      <c r="Z41" s="13">
        <v>0</v>
      </c>
      <c r="AA41" s="13">
        <v>0</v>
      </c>
      <c r="AB41" s="13"/>
      <c r="AC41" s="13">
        <f>(1 - CUSTOS!$M$30)*445.2806</f>
        <v>445.28059999999999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P41" s="13">
        <f>IF((1 - CUSTOS!$M$30)&lt;&gt;0,1/(1 - CUSTOS!$M$30),1)</f>
        <v>1</v>
      </c>
    </row>
    <row r="42" spans="1:42" ht="11.25" customHeight="1" x14ac:dyDescent="0.25">
      <c r="A42" s="103"/>
      <c r="B42" s="103" t="s">
        <v>78</v>
      </c>
      <c r="C42" s="103" t="s">
        <v>32</v>
      </c>
      <c r="D42" s="23" t="s">
        <v>25</v>
      </c>
      <c r="E42" s="23" t="s">
        <v>25</v>
      </c>
      <c r="F42" s="23" t="s">
        <v>25</v>
      </c>
      <c r="G42" s="24" t="s">
        <v>67</v>
      </c>
      <c r="H42" s="24" t="s">
        <v>60</v>
      </c>
      <c r="I42" s="24">
        <f>'MERCADO TUSD'!$U$39</f>
        <v>0</v>
      </c>
      <c r="J42" s="15"/>
      <c r="L42" s="13"/>
      <c r="M42" s="13"/>
      <c r="N42" s="13"/>
      <c r="O42" s="13"/>
      <c r="P42" s="13"/>
      <c r="Q42" s="13"/>
      <c r="R42" s="13"/>
      <c r="S42" s="13"/>
      <c r="T42" s="13"/>
      <c r="U42" s="13">
        <v>0</v>
      </c>
      <c r="V42" s="13">
        <v>0</v>
      </c>
      <c r="W42" s="13">
        <v>0</v>
      </c>
      <c r="X42" s="13">
        <v>0</v>
      </c>
      <c r="Y42" s="13">
        <f>(1 - CUSTOS!$M$28)*137.0754</f>
        <v>137.0754</v>
      </c>
      <c r="Z42" s="13">
        <v>0</v>
      </c>
      <c r="AA42" s="13">
        <v>0</v>
      </c>
      <c r="AB42" s="13"/>
      <c r="AC42" s="13">
        <f>(1 - CUSTOS!$M$28)*445.2806</f>
        <v>445.28059999999999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P42" s="13">
        <f>IF((1 - CUSTOS!$M$28)&lt;&gt;0,1/(1 - CUSTOS!$M$28),1)</f>
        <v>1</v>
      </c>
    </row>
    <row r="43" spans="1:42" ht="11.25" customHeight="1" x14ac:dyDescent="0.25">
      <c r="A43" s="103"/>
      <c r="B43" s="103"/>
      <c r="C43" s="103"/>
      <c r="D43" s="23" t="s">
        <v>79</v>
      </c>
      <c r="E43" s="23" t="s">
        <v>25</v>
      </c>
      <c r="F43" s="23" t="s">
        <v>25</v>
      </c>
      <c r="G43" s="24" t="s">
        <v>67</v>
      </c>
      <c r="H43" s="24" t="s">
        <v>60</v>
      </c>
      <c r="I43" s="24">
        <f>'MERCADO TUSD'!$U$40</f>
        <v>0</v>
      </c>
      <c r="J43" s="15"/>
      <c r="L43" s="13"/>
      <c r="M43" s="13"/>
      <c r="N43" s="13"/>
      <c r="O43" s="13"/>
      <c r="P43" s="13"/>
      <c r="Q43" s="13"/>
      <c r="R43" s="13"/>
      <c r="S43" s="13"/>
      <c r="T43" s="13"/>
      <c r="U43" s="13">
        <v>0</v>
      </c>
      <c r="V43" s="13">
        <v>0</v>
      </c>
      <c r="W43" s="13">
        <v>0</v>
      </c>
      <c r="X43" s="13">
        <v>0</v>
      </c>
      <c r="Y43" s="13">
        <f>(1 - CUSTOS!$M$29)*137.0754</f>
        <v>137.0754</v>
      </c>
      <c r="Z43" s="13">
        <v>0</v>
      </c>
      <c r="AA43" s="13">
        <v>0</v>
      </c>
      <c r="AB43" s="13"/>
      <c r="AC43" s="13">
        <f>(1 - CUSTOS!$M$29)*445.2806</f>
        <v>445.28059999999999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P43" s="13">
        <f>IF((1 - CUSTOS!$M$29)&lt;&gt;0,1/(1 - CUSTOS!$M$29),1)</f>
        <v>1</v>
      </c>
    </row>
    <row r="44" spans="1:42" ht="11.25" customHeight="1" x14ac:dyDescent="0.25">
      <c r="A44" s="103"/>
      <c r="B44" s="103"/>
      <c r="C44" s="103"/>
      <c r="D44" s="23" t="s">
        <v>80</v>
      </c>
      <c r="E44" s="23" t="s">
        <v>25</v>
      </c>
      <c r="F44" s="23" t="s">
        <v>25</v>
      </c>
      <c r="G44" s="24" t="s">
        <v>67</v>
      </c>
      <c r="H44" s="24" t="s">
        <v>60</v>
      </c>
      <c r="I44" s="24">
        <f>'MERCADO TUSD'!$U$41</f>
        <v>0</v>
      </c>
      <c r="J44" s="15"/>
      <c r="L44" s="13"/>
      <c r="M44" s="13"/>
      <c r="N44" s="13"/>
      <c r="O44" s="13"/>
      <c r="P44" s="13"/>
      <c r="Q44" s="13"/>
      <c r="R44" s="13"/>
      <c r="S44" s="13"/>
      <c r="T44" s="13"/>
      <c r="U44" s="13">
        <v>0</v>
      </c>
      <c r="V44" s="13">
        <v>0</v>
      </c>
      <c r="W44" s="13">
        <v>0</v>
      </c>
      <c r="X44" s="13">
        <v>0</v>
      </c>
      <c r="Y44" s="13">
        <f>(1 - CUSTOS!$M$30)*137.0754</f>
        <v>137.0754</v>
      </c>
      <c r="Z44" s="13">
        <v>0</v>
      </c>
      <c r="AA44" s="13">
        <v>0</v>
      </c>
      <c r="AB44" s="13"/>
      <c r="AC44" s="13">
        <f>(1 - CUSTOS!$M$30)*445.2806</f>
        <v>445.28059999999999</v>
      </c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P44" s="13">
        <f>IF((1 - CUSTOS!$M$30)&lt;&gt;0,1/(1 - CUSTOS!$M$30),1)</f>
        <v>1</v>
      </c>
    </row>
    <row r="45" spans="1:42" ht="11.25" customHeight="1" x14ac:dyDescent="0.25">
      <c r="A45" s="103" t="s">
        <v>28</v>
      </c>
      <c r="B45" s="103" t="s">
        <v>76</v>
      </c>
      <c r="C45" s="103" t="s">
        <v>25</v>
      </c>
      <c r="D45" s="103" t="s">
        <v>25</v>
      </c>
      <c r="E45" s="103" t="s">
        <v>25</v>
      </c>
      <c r="F45" s="103" t="s">
        <v>25</v>
      </c>
      <c r="G45" s="24" t="s">
        <v>61</v>
      </c>
      <c r="H45" s="24" t="s">
        <v>60</v>
      </c>
      <c r="I45" s="24">
        <f>'MERCADO TUSD'!$U$42</f>
        <v>0</v>
      </c>
      <c r="J45" s="15"/>
      <c r="L45" s="13"/>
      <c r="M45" s="13"/>
      <c r="N45" s="13"/>
      <c r="O45" s="13"/>
      <c r="P45" s="13"/>
      <c r="Q45" s="13"/>
      <c r="R45" s="13"/>
      <c r="S45" s="13"/>
      <c r="T45" s="13"/>
      <c r="U45" s="13">
        <v>0</v>
      </c>
      <c r="V45" s="13">
        <v>0</v>
      </c>
      <c r="W45" s="13">
        <v>0</v>
      </c>
      <c r="X45" s="13">
        <v>0</v>
      </c>
      <c r="Y45" s="13">
        <f>(1 - CUSTOS!$M$31)*473.0285</f>
        <v>473.02850000000001</v>
      </c>
      <c r="Z45" s="13">
        <v>0</v>
      </c>
      <c r="AA45" s="13">
        <v>0</v>
      </c>
      <c r="AB45" s="13"/>
      <c r="AC45" s="13">
        <f>(1 - CUSTOS!$M$31)*1536.2176</f>
        <v>1536.2175999999999</v>
      </c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P45" s="13">
        <f>IF((1 - CUSTOS!$M$31)&lt;&gt;0,1/(1 - CUSTOS!$M$31),1)</f>
        <v>1</v>
      </c>
    </row>
    <row r="46" spans="1:42" ht="11.25" customHeight="1" x14ac:dyDescent="0.25">
      <c r="A46" s="103"/>
      <c r="B46" s="103"/>
      <c r="C46" s="103"/>
      <c r="D46" s="103"/>
      <c r="E46" s="103"/>
      <c r="F46" s="103"/>
      <c r="G46" s="24" t="s">
        <v>74</v>
      </c>
      <c r="H46" s="24" t="s">
        <v>60</v>
      </c>
      <c r="I46" s="24">
        <f>'MERCADO TUSD'!$U$43</f>
        <v>0</v>
      </c>
      <c r="J46" s="15"/>
      <c r="L46" s="13"/>
      <c r="M46" s="13"/>
      <c r="N46" s="13"/>
      <c r="O46" s="13"/>
      <c r="P46" s="13"/>
      <c r="Q46" s="13"/>
      <c r="R46" s="13"/>
      <c r="S46" s="13"/>
      <c r="T46" s="13"/>
      <c r="U46" s="13">
        <v>0</v>
      </c>
      <c r="V46" s="13">
        <v>0</v>
      </c>
      <c r="W46" s="13">
        <v>0</v>
      </c>
      <c r="X46" s="13">
        <v>0</v>
      </c>
      <c r="Y46" s="13">
        <f>(1 - CUSTOS!$M$31)*283.7629</f>
        <v>283.7629</v>
      </c>
      <c r="Z46" s="13">
        <v>0</v>
      </c>
      <c r="AA46" s="13">
        <v>0</v>
      </c>
      <c r="AB46" s="13"/>
      <c r="AC46" s="13">
        <f>(1 - CUSTOS!$M$31)*921.7305</f>
        <v>921.73050000000001</v>
      </c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P46" s="13">
        <f>IF((1 - CUSTOS!$M$31)&lt;&gt;0,1/(1 - CUSTOS!$M$31),1)</f>
        <v>1</v>
      </c>
    </row>
    <row r="47" spans="1:42" ht="11.25" customHeight="1" x14ac:dyDescent="0.25">
      <c r="A47" s="103"/>
      <c r="B47" s="103"/>
      <c r="C47" s="103"/>
      <c r="D47" s="103"/>
      <c r="E47" s="103"/>
      <c r="F47" s="103"/>
      <c r="G47" s="24" t="s">
        <v>62</v>
      </c>
      <c r="H47" s="24" t="s">
        <v>60</v>
      </c>
      <c r="I47" s="24">
        <f>'MERCADO TUSD'!$U$44</f>
        <v>0</v>
      </c>
      <c r="J47" s="15"/>
      <c r="L47" s="13"/>
      <c r="M47" s="13"/>
      <c r="N47" s="13"/>
      <c r="O47" s="13"/>
      <c r="P47" s="13"/>
      <c r="Q47" s="13"/>
      <c r="R47" s="13"/>
      <c r="S47" s="13"/>
      <c r="T47" s="13"/>
      <c r="U47" s="13">
        <v>0</v>
      </c>
      <c r="V47" s="13">
        <v>0</v>
      </c>
      <c r="W47" s="13">
        <v>0</v>
      </c>
      <c r="X47" s="13">
        <v>0</v>
      </c>
      <c r="Y47" s="13">
        <f>(1 - CUSTOS!$M$31)*94.5651</f>
        <v>94.565100000000001</v>
      </c>
      <c r="Z47" s="13">
        <v>0</v>
      </c>
      <c r="AA47" s="13">
        <v>0</v>
      </c>
      <c r="AB47" s="13"/>
      <c r="AC47" s="13">
        <f>(1 - CUSTOS!$M$31)*307.2438</f>
        <v>307.24380000000002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P47" s="13">
        <f>IF((1 - CUSTOS!$M$31)&lt;&gt;0,1/(1 - CUSTOS!$M$31),1)</f>
        <v>1</v>
      </c>
    </row>
    <row r="48" spans="1:42" ht="11.25" customHeight="1" x14ac:dyDescent="0.25">
      <c r="A48" s="10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67</v>
      </c>
      <c r="H48" s="24" t="s">
        <v>60</v>
      </c>
      <c r="I48" s="24">
        <f>'MERCADO TUSD'!$U$45</f>
        <v>3301.431</v>
      </c>
      <c r="J48" s="15"/>
      <c r="L48" s="13"/>
      <c r="M48" s="13"/>
      <c r="N48" s="13"/>
      <c r="O48" s="13"/>
      <c r="P48" s="13"/>
      <c r="Q48" s="13"/>
      <c r="R48" s="13"/>
      <c r="S48" s="13"/>
      <c r="T48" s="13"/>
      <c r="U48" s="13">
        <v>0</v>
      </c>
      <c r="V48" s="13">
        <v>0</v>
      </c>
      <c r="W48" s="13">
        <v>0</v>
      </c>
      <c r="X48" s="13">
        <v>0</v>
      </c>
      <c r="Y48" s="13">
        <f>(1 - CUSTOS!$M$31)*137.0754</f>
        <v>137.0754</v>
      </c>
      <c r="Z48" s="13">
        <v>0</v>
      </c>
      <c r="AA48" s="13">
        <v>0</v>
      </c>
      <c r="AB48" s="13"/>
      <c r="AC48" s="13">
        <f>(1 - CUSTOS!$M$31)*445.2806</f>
        <v>445.28059999999999</v>
      </c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P48" s="13">
        <f>IF((1 - CUSTOS!$M$31)&lt;&gt;0,1/(1 - CUSTOS!$M$31),1)</f>
        <v>1</v>
      </c>
    </row>
    <row r="49" spans="1:42" ht="11.25" customHeight="1" x14ac:dyDescent="0.25">
      <c r="A49" s="103"/>
      <c r="B49" s="23" t="s">
        <v>78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67</v>
      </c>
      <c r="H49" s="24" t="s">
        <v>60</v>
      </c>
      <c r="I49" s="24">
        <f>'MERCADO TUSD'!$U$46</f>
        <v>0</v>
      </c>
      <c r="J49" s="15"/>
      <c r="L49" s="13"/>
      <c r="M49" s="13"/>
      <c r="N49" s="13"/>
      <c r="O49" s="13"/>
      <c r="P49" s="13"/>
      <c r="Q49" s="13"/>
      <c r="R49" s="13"/>
      <c r="S49" s="13"/>
      <c r="T49" s="13"/>
      <c r="U49" s="13">
        <v>0</v>
      </c>
      <c r="V49" s="13">
        <v>0</v>
      </c>
      <c r="W49" s="13">
        <v>0</v>
      </c>
      <c r="X49" s="13">
        <v>0</v>
      </c>
      <c r="Y49" s="13">
        <f>(1 - CUSTOS!$M$31)*137.0754</f>
        <v>137.0754</v>
      </c>
      <c r="Z49" s="13">
        <v>0</v>
      </c>
      <c r="AA49" s="13">
        <v>0</v>
      </c>
      <c r="AB49" s="13"/>
      <c r="AC49" s="13">
        <f>(1 - CUSTOS!$M$31)*445.2806</f>
        <v>445.28059999999999</v>
      </c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P49" s="13">
        <f>IF((1 - CUSTOS!$M$31)&lt;&gt;0,1/(1 - CUSTOS!$M$31),1)</f>
        <v>1</v>
      </c>
    </row>
    <row r="50" spans="1:42" ht="11.25" customHeight="1" x14ac:dyDescent="0.25">
      <c r="A50" s="103" t="s">
        <v>34</v>
      </c>
      <c r="B50" s="103" t="s">
        <v>23</v>
      </c>
      <c r="C50" s="103" t="s">
        <v>35</v>
      </c>
      <c r="D50" s="23" t="s">
        <v>36</v>
      </c>
      <c r="E50" s="23" t="s">
        <v>25</v>
      </c>
      <c r="F50" s="23" t="s">
        <v>25</v>
      </c>
      <c r="G50" s="24" t="s">
        <v>67</v>
      </c>
      <c r="H50" s="24" t="s">
        <v>60</v>
      </c>
      <c r="I50" s="24">
        <f>'MERCADO TUSD'!$U$47</f>
        <v>274.32500000000005</v>
      </c>
      <c r="J50" s="15"/>
      <c r="L50" s="13"/>
      <c r="M50" s="13"/>
      <c r="N50" s="13"/>
      <c r="O50" s="13"/>
      <c r="P50" s="13"/>
      <c r="Q50" s="13"/>
      <c r="R50" s="13"/>
      <c r="S50" s="13"/>
      <c r="T50" s="13"/>
      <c r="U50" s="13">
        <v>0</v>
      </c>
      <c r="V50" s="13">
        <v>0</v>
      </c>
      <c r="W50" s="13">
        <v>0</v>
      </c>
      <c r="X50" s="13">
        <v>0</v>
      </c>
      <c r="Y50" s="13">
        <f>(1 - CUSTOS!$M$32)*137.0754</f>
        <v>75.391470000000012</v>
      </c>
      <c r="Z50" s="13">
        <v>0</v>
      </c>
      <c r="AA50" s="13">
        <v>0</v>
      </c>
      <c r="AB50" s="13"/>
      <c r="AC50" s="13">
        <f>(1 - CUSTOS!$M$32)*445.2806</f>
        <v>244.90433000000002</v>
      </c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P50" s="13">
        <f>IF((1 - CUSTOS!$M$32)&lt;&gt;0,1/(1 - CUSTOS!$M$32),1)</f>
        <v>1.8181818181818181</v>
      </c>
    </row>
    <row r="51" spans="1:42" ht="11.25" customHeight="1" x14ac:dyDescent="0.25">
      <c r="A51" s="103"/>
      <c r="B51" s="103"/>
      <c r="C51" s="103"/>
      <c r="D51" s="24" t="s">
        <v>81</v>
      </c>
      <c r="E51" s="24" t="s">
        <v>25</v>
      </c>
      <c r="F51" s="24" t="s">
        <v>25</v>
      </c>
      <c r="G51" s="24" t="s">
        <v>67</v>
      </c>
      <c r="H51" s="24" t="s">
        <v>60</v>
      </c>
      <c r="I51" s="24">
        <f>'MERCADO TUSD'!$U$48</f>
        <v>0</v>
      </c>
      <c r="J51" s="15"/>
      <c r="L51" s="13"/>
      <c r="M51" s="13"/>
      <c r="N51" s="13"/>
      <c r="O51" s="13"/>
      <c r="P51" s="13"/>
      <c r="Q51" s="13"/>
      <c r="R51" s="13"/>
      <c r="S51" s="13"/>
      <c r="T51" s="13"/>
      <c r="U51" s="13">
        <v>0</v>
      </c>
      <c r="V51" s="13">
        <v>0</v>
      </c>
      <c r="W51" s="13">
        <v>0</v>
      </c>
      <c r="X51" s="13">
        <v>0</v>
      </c>
      <c r="Y51" s="13">
        <f>(1 - CUSTOS!$M$33)*137.0754</f>
        <v>82.245239999999995</v>
      </c>
      <c r="Z51" s="13">
        <v>0</v>
      </c>
      <c r="AA51" s="13">
        <v>0</v>
      </c>
      <c r="AB51" s="13"/>
      <c r="AC51" s="13">
        <f>(1 - CUSTOS!$M$33)*445.2806</f>
        <v>267.16836000000001</v>
      </c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P51" s="13">
        <f>IF((1 - CUSTOS!$M$33)&lt;&gt;0,1/(1 - CUSTOS!$M$33),1)</f>
        <v>1.6666666666666667</v>
      </c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9E12-6A47-43FA-9BB5-D93187F1CBD8}">
  <sheetPr codeName="Planilha8"/>
  <dimension ref="A1:AP70"/>
  <sheetViews>
    <sheetView showGridLines="0" topLeftCell="A35" workbookViewId="0">
      <selection activeCell="K62" sqref="K62:P62"/>
    </sheetView>
  </sheetViews>
  <sheetFormatPr defaultColWidth="9.140625"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10.42578125" style="9" bestFit="1" customWidth="1"/>
    <col min="14" max="14" width="11.7109375" style="9" bestFit="1" customWidth="1"/>
    <col min="15" max="16" width="9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570312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04" t="s">
        <v>49</v>
      </c>
      <c r="B1" s="104" t="s">
        <v>50</v>
      </c>
      <c r="C1" s="104" t="s">
        <v>51</v>
      </c>
      <c r="D1" s="104" t="s">
        <v>52</v>
      </c>
      <c r="E1" s="104" t="s">
        <v>53</v>
      </c>
      <c r="F1" s="104" t="s">
        <v>15</v>
      </c>
      <c r="G1" s="104" t="s">
        <v>55</v>
      </c>
      <c r="H1" s="104" t="s">
        <v>56</v>
      </c>
      <c r="I1" s="104" t="s">
        <v>365</v>
      </c>
      <c r="J1" s="96"/>
      <c r="L1" s="105" t="s">
        <v>366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P1" s="105" t="s">
        <v>367</v>
      </c>
    </row>
    <row r="2" spans="1:42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6"/>
      <c r="L2" s="105" t="s">
        <v>263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P2" s="106"/>
    </row>
    <row r="3" spans="1:42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6"/>
      <c r="L3" s="105" t="s">
        <v>264</v>
      </c>
      <c r="M3" s="105"/>
      <c r="N3" s="105"/>
      <c r="O3" s="105"/>
      <c r="P3" s="105"/>
      <c r="Q3" s="105"/>
      <c r="R3" s="105"/>
      <c r="S3" s="105"/>
      <c r="T3" s="105"/>
      <c r="U3" s="105" t="s">
        <v>273</v>
      </c>
      <c r="V3" s="105"/>
      <c r="W3" s="105"/>
      <c r="X3" s="105"/>
      <c r="Y3" s="105"/>
      <c r="Z3" s="105"/>
      <c r="AA3" s="105"/>
      <c r="AB3" s="105"/>
      <c r="AC3" s="105" t="s">
        <v>281</v>
      </c>
      <c r="AD3" s="105"/>
      <c r="AE3" s="105" t="s">
        <v>283</v>
      </c>
      <c r="AF3" s="105"/>
      <c r="AG3" s="105"/>
      <c r="AH3" s="105" t="s">
        <v>286</v>
      </c>
      <c r="AI3" s="105"/>
      <c r="AJ3" s="105"/>
      <c r="AK3" s="105"/>
      <c r="AL3" s="105"/>
      <c r="AM3" s="105" t="s">
        <v>272</v>
      </c>
      <c r="AP3" s="106"/>
    </row>
    <row r="4" spans="1:42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6"/>
      <c r="L4" s="10" t="s">
        <v>349</v>
      </c>
      <c r="M4" s="10" t="s">
        <v>265</v>
      </c>
      <c r="N4" s="10" t="s">
        <v>266</v>
      </c>
      <c r="O4" s="10" t="s">
        <v>267</v>
      </c>
      <c r="P4" s="10" t="s">
        <v>268</v>
      </c>
      <c r="Q4" s="10" t="s">
        <v>269</v>
      </c>
      <c r="R4" s="10" t="s">
        <v>270</v>
      </c>
      <c r="S4" s="10" t="s">
        <v>271</v>
      </c>
      <c r="T4" s="10" t="s">
        <v>272</v>
      </c>
      <c r="U4" s="10" t="s">
        <v>274</v>
      </c>
      <c r="V4" s="10" t="s">
        <v>275</v>
      </c>
      <c r="W4" s="10" t="s">
        <v>276</v>
      </c>
      <c r="X4" s="10" t="s">
        <v>277</v>
      </c>
      <c r="Y4" s="10" t="s">
        <v>278</v>
      </c>
      <c r="Z4" s="10" t="s">
        <v>279</v>
      </c>
      <c r="AA4" s="10" t="s">
        <v>280</v>
      </c>
      <c r="AB4" s="10" t="s">
        <v>272</v>
      </c>
      <c r="AC4" s="10" t="s">
        <v>282</v>
      </c>
      <c r="AD4" s="10" t="s">
        <v>272</v>
      </c>
      <c r="AE4" s="10" t="s">
        <v>284</v>
      </c>
      <c r="AF4" s="10" t="s">
        <v>285</v>
      </c>
      <c r="AG4" s="10" t="s">
        <v>272</v>
      </c>
      <c r="AH4" s="10" t="s">
        <v>287</v>
      </c>
      <c r="AI4" s="10" t="s">
        <v>288</v>
      </c>
      <c r="AJ4" s="10" t="s">
        <v>289</v>
      </c>
      <c r="AK4" s="10" t="s">
        <v>290</v>
      </c>
      <c r="AL4" s="10" t="s">
        <v>272</v>
      </c>
      <c r="AM4" s="107"/>
      <c r="AP4" s="106"/>
    </row>
    <row r="5" spans="1:42" ht="11.25" customHeight="1" x14ac:dyDescent="0.25">
      <c r="A5" s="103" t="s">
        <v>58</v>
      </c>
      <c r="B5" s="103" t="s">
        <v>63</v>
      </c>
      <c r="C5" s="103" t="s">
        <v>25</v>
      </c>
      <c r="D5" s="103" t="s">
        <v>25</v>
      </c>
      <c r="E5" s="103" t="s">
        <v>25</v>
      </c>
      <c r="F5" s="103" t="s">
        <v>25</v>
      </c>
      <c r="G5" s="24" t="s">
        <v>65</v>
      </c>
      <c r="H5" s="24" t="s">
        <v>64</v>
      </c>
      <c r="I5" s="24">
        <f>'MERCADO TUSD'!$U$2+0.00000001</f>
        <v>1E-8</v>
      </c>
      <c r="J5" s="15"/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/>
      <c r="U5" s="13">
        <f>TRANSICAO!$U$5*CUSTOS!$R$3</f>
        <v>0</v>
      </c>
      <c r="V5" s="13">
        <f>TRANSICAO!$V$5*CUSTOS!$R$3</f>
        <v>0</v>
      </c>
      <c r="W5" s="13">
        <f>TRANSICAO!$W$5*CUSTOS!$R$3</f>
        <v>0</v>
      </c>
      <c r="X5" s="13">
        <f>TRANSICAO!$X$5*CUSTOS!$R$3</f>
        <v>0</v>
      </c>
      <c r="Y5" s="13">
        <f>TRANSICAO!$Y$5*CUSTOS!$R$3</f>
        <v>42.0364</v>
      </c>
      <c r="Z5" s="13">
        <f>TRANSICAO!$Z$5*CUSTOS!$R$3</f>
        <v>0</v>
      </c>
      <c r="AA5" s="13">
        <f>TRANSICAO!$AA$5*CUSTOS!$R$3</f>
        <v>0</v>
      </c>
      <c r="AB5" s="13">
        <f>TRANSICAO!$AB$5*CUSTOS!$R$3</f>
        <v>0</v>
      </c>
      <c r="AC5" s="13">
        <f>TRANSICAO!$AC$5*CUSTOS!$R$3</f>
        <v>106.9922</v>
      </c>
      <c r="AD5" s="13">
        <f>TRANSICAO!$AD$5*CUSTOS!$R$3</f>
        <v>0</v>
      </c>
      <c r="AE5" s="13">
        <v>0</v>
      </c>
      <c r="AF5" s="13">
        <v>0</v>
      </c>
      <c r="AG5" s="13"/>
      <c r="AH5" s="13">
        <v>0</v>
      </c>
      <c r="AI5" s="13">
        <v>0</v>
      </c>
      <c r="AJ5" s="13">
        <v>0</v>
      </c>
      <c r="AK5" s="13">
        <f t="shared" ref="AK5:AK51" si="0">AJ5</f>
        <v>0</v>
      </c>
      <c r="AL5" s="13"/>
      <c r="AM5" s="13"/>
      <c r="AP5" s="13">
        <v>1</v>
      </c>
    </row>
    <row r="6" spans="1:42" ht="11.25" customHeight="1" x14ac:dyDescent="0.25">
      <c r="A6" s="103"/>
      <c r="B6" s="103"/>
      <c r="C6" s="103"/>
      <c r="D6" s="103"/>
      <c r="E6" s="103"/>
      <c r="F6" s="103"/>
      <c r="G6" s="24" t="s">
        <v>66</v>
      </c>
      <c r="H6" s="24" t="s">
        <v>64</v>
      </c>
      <c r="I6" s="24">
        <f>'MERCADO TUSD'!$U$3+0.00000001</f>
        <v>1E-8</v>
      </c>
      <c r="J6" s="15"/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/>
      <c r="U6" s="13">
        <f>TRANSICAO!$U$6*CUSTOS!$R$3</f>
        <v>0</v>
      </c>
      <c r="V6" s="13">
        <f>TRANSICAO!$V$6*CUSTOS!$R$3</f>
        <v>0</v>
      </c>
      <c r="W6" s="13">
        <f>TRANSICAO!$W$6*CUSTOS!$R$3</f>
        <v>0</v>
      </c>
      <c r="X6" s="13">
        <f>TRANSICAO!$X$6*CUSTOS!$R$3</f>
        <v>0</v>
      </c>
      <c r="Y6" s="13">
        <f>TRANSICAO!$Y$6*CUSTOS!$R$3</f>
        <v>16.990600000000001</v>
      </c>
      <c r="Z6" s="13">
        <f>TRANSICAO!$Z$6*CUSTOS!$R$3</f>
        <v>0</v>
      </c>
      <c r="AA6" s="13">
        <f>TRANSICAO!$AA$6*CUSTOS!$R$3</f>
        <v>0</v>
      </c>
      <c r="AB6" s="13">
        <f>TRANSICAO!$AB$6*CUSTOS!$R$3</f>
        <v>0</v>
      </c>
      <c r="AC6" s="13">
        <f>TRANSICAO!$AC$6*CUSTOS!$R$3</f>
        <v>29.897200000000002</v>
      </c>
      <c r="AD6" s="13">
        <f>TRANSICAO!$AD$6*CUSTOS!$R$3</f>
        <v>0</v>
      </c>
      <c r="AE6" s="13">
        <v>0</v>
      </c>
      <c r="AF6" s="13">
        <v>0</v>
      </c>
      <c r="AG6" s="13"/>
      <c r="AH6" s="13">
        <v>0</v>
      </c>
      <c r="AI6" s="13">
        <v>0</v>
      </c>
      <c r="AJ6" s="13">
        <v>0</v>
      </c>
      <c r="AK6" s="13">
        <f t="shared" si="0"/>
        <v>0</v>
      </c>
      <c r="AL6" s="13"/>
      <c r="AM6" s="13"/>
      <c r="AP6" s="13">
        <v>1</v>
      </c>
    </row>
    <row r="7" spans="1:42" ht="11.25" customHeight="1" x14ac:dyDescent="0.25">
      <c r="A7" s="103"/>
      <c r="B7" s="103"/>
      <c r="C7" s="103"/>
      <c r="D7" s="103"/>
      <c r="E7" s="103"/>
      <c r="F7" s="103"/>
      <c r="G7" s="24" t="s">
        <v>67</v>
      </c>
      <c r="H7" s="24" t="s">
        <v>60</v>
      </c>
      <c r="I7" s="24">
        <f>'MERCADO TUSD'!$U$4+0.00000001</f>
        <v>1E-8</v>
      </c>
      <c r="J7" s="15"/>
      <c r="L7" s="13">
        <f>0.84</f>
        <v>0.84</v>
      </c>
      <c r="M7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4.5403397255682325</v>
      </c>
      <c r="N7" s="13">
        <f ca="1">(+M7+O7+R7+U7+V7+W7+X7+Y7+Z7+AA7+AC7+AH7+AI7+AJ7+AK7)*CUSTOS!$M$5</f>
        <v>2.0557339725568233E-13</v>
      </c>
      <c r="O7" s="13">
        <v>1</v>
      </c>
      <c r="P7" s="13">
        <v>1</v>
      </c>
      <c r="Q7" s="13">
        <f>0.84</f>
        <v>0.84</v>
      </c>
      <c r="R7" s="13">
        <v>1</v>
      </c>
      <c r="S7" s="13">
        <v>1</v>
      </c>
      <c r="T7" s="13"/>
      <c r="U7" s="13">
        <f>TRANSICAO!$U$7*CUSTOS!$R$3</f>
        <v>0</v>
      </c>
      <c r="V7" s="13">
        <f>TRANSICAO!$V$7*CUSTOS!$R$3</f>
        <v>0</v>
      </c>
      <c r="W7" s="13">
        <f>TRANSICAO!$W$7*CUSTOS!$R$3</f>
        <v>0</v>
      </c>
      <c r="X7" s="13">
        <f>TRANSICAO!$X$7*CUSTOS!$R$3</f>
        <v>0</v>
      </c>
      <c r="Y7" s="13">
        <f>TRANSICAO!$Y$7*CUSTOS!$R$3</f>
        <v>0</v>
      </c>
      <c r="Z7" s="13">
        <f>TRANSICAO!$Z$7*CUSTOS!$R$3</f>
        <v>0</v>
      </c>
      <c r="AA7" s="13">
        <f>TRANSICAO!$AA$7*CUSTOS!$R$3</f>
        <v>0</v>
      </c>
      <c r="AB7" s="13">
        <f>TRANSICAO!$AB$7*CUSTOS!$R$3</f>
        <v>0</v>
      </c>
      <c r="AC7" s="13">
        <f>TRANSICAO!$AC$7*CUSTOS!$R$3</f>
        <v>0</v>
      </c>
      <c r="AD7" s="13">
        <f>TRANSICAO!$AD$7*CUSTOS!$R$3</f>
        <v>0</v>
      </c>
      <c r="AE7" s="13">
        <v>0</v>
      </c>
      <c r="AF7" s="13">
        <v>0</v>
      </c>
      <c r="AG7" s="13"/>
      <c r="AH7" s="13">
        <v>7.0084999999999997</v>
      </c>
      <c r="AI7" s="13">
        <v>7.0084999999999997</v>
      </c>
      <c r="AJ7" s="13">
        <f ca="1">$N$63</f>
        <v>0</v>
      </c>
      <c r="AK7" s="13">
        <f t="shared" ca="1" si="0"/>
        <v>0</v>
      </c>
      <c r="AL7" s="13"/>
      <c r="AM7" s="13"/>
      <c r="AP7" s="13">
        <v>1</v>
      </c>
    </row>
    <row r="8" spans="1:42" ht="11.25" customHeight="1" x14ac:dyDescent="0.25">
      <c r="A8" s="103"/>
      <c r="B8" s="103"/>
      <c r="C8" s="103"/>
      <c r="D8" s="103"/>
      <c r="E8" s="23" t="s">
        <v>68</v>
      </c>
      <c r="F8" s="23" t="s">
        <v>25</v>
      </c>
      <c r="G8" s="24" t="s">
        <v>67</v>
      </c>
      <c r="H8" s="24" t="s">
        <v>60</v>
      </c>
      <c r="I8" s="24">
        <f>'MERCADO TUSD'!$U$5+0.00000001</f>
        <v>1E-8</v>
      </c>
      <c r="J8" s="15"/>
      <c r="L8" s="13">
        <v>0</v>
      </c>
      <c r="M8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4.5403397255682325</v>
      </c>
      <c r="N8" s="13">
        <f ca="1">(+M8+O8+R8+U8+V8+W8+X8+Y8+Z8+AA8+AC8+AH8+AI8+AJ8+AK8)*CUSTOS!$M$5</f>
        <v>1.9557339725568235E-13</v>
      </c>
      <c r="O8" s="13">
        <v>1</v>
      </c>
      <c r="P8" s="13">
        <v>0</v>
      </c>
      <c r="Q8" s="13">
        <v>0</v>
      </c>
      <c r="R8" s="13">
        <v>0</v>
      </c>
      <c r="S8" s="13">
        <v>0</v>
      </c>
      <c r="T8" s="13"/>
      <c r="U8" s="13">
        <f>TRANSICAO!$U$8*CUSTOS!$R$3</f>
        <v>0</v>
      </c>
      <c r="V8" s="13">
        <f>TRANSICAO!$V$8*CUSTOS!$R$3</f>
        <v>0</v>
      </c>
      <c r="W8" s="13">
        <f>TRANSICAO!$W$8*CUSTOS!$R$3</f>
        <v>0</v>
      </c>
      <c r="X8" s="13">
        <f>TRANSICAO!$X$8*CUSTOS!$R$3</f>
        <v>0</v>
      </c>
      <c r="Y8" s="13">
        <f>TRANSICAO!$Y$8*CUSTOS!$R$3</f>
        <v>0</v>
      </c>
      <c r="Z8" s="13">
        <f>TRANSICAO!$Z$8*CUSTOS!$R$3</f>
        <v>0</v>
      </c>
      <c r="AA8" s="13">
        <f>TRANSICAO!$AA$8*CUSTOS!$R$3</f>
        <v>0</v>
      </c>
      <c r="AB8" s="13">
        <f>TRANSICAO!$AB$8*CUSTOS!$R$3</f>
        <v>0</v>
      </c>
      <c r="AC8" s="13">
        <f>TRANSICAO!$AC$8*CUSTOS!$R$3</f>
        <v>0</v>
      </c>
      <c r="AD8" s="13">
        <f>TRANSICAO!$AD$8*CUSTOS!$R$3</f>
        <v>0</v>
      </c>
      <c r="AE8" s="13">
        <v>0</v>
      </c>
      <c r="AF8" s="13">
        <v>0</v>
      </c>
      <c r="AG8" s="13"/>
      <c r="AH8" s="13">
        <v>7.0084999999999997</v>
      </c>
      <c r="AI8" s="13">
        <v>7.0084999999999997</v>
      </c>
      <c r="AJ8" s="13">
        <f ca="1">$N$63</f>
        <v>0</v>
      </c>
      <c r="AK8" s="13">
        <f t="shared" ca="1" si="0"/>
        <v>0</v>
      </c>
      <c r="AL8" s="13"/>
      <c r="AM8" s="13"/>
      <c r="AP8" s="13">
        <v>1</v>
      </c>
    </row>
    <row r="9" spans="1:42" ht="11.25" customHeight="1" x14ac:dyDescent="0.25">
      <c r="A9" s="103"/>
      <c r="B9" s="23" t="s">
        <v>69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64</v>
      </c>
      <c r="I9" s="24">
        <f>'MERCADO TUSD'!$U$6+0.00000001</f>
        <v>1E-8</v>
      </c>
      <c r="J9" s="15"/>
      <c r="L9" s="13">
        <v>0</v>
      </c>
      <c r="M9" s="13">
        <v>1.03E-2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/>
      <c r="U9" s="13">
        <f>TRANSICAO!$U$9*CUSTOS!$R$4</f>
        <v>0</v>
      </c>
      <c r="V9" s="13">
        <f>TRANSICAO!$V$9*CUSTOS!$R$4</f>
        <v>0</v>
      </c>
      <c r="W9" s="13">
        <f>TRANSICAO!$W$9*CUSTOS!$R$4</f>
        <v>0</v>
      </c>
      <c r="X9" s="13">
        <f>TRANSICAO!$X$9*CUSTOS!$R$4</f>
        <v>0</v>
      </c>
      <c r="Y9" s="13">
        <f>TRANSICAO!$Y$9*CUSTOS!$R$4</f>
        <v>0</v>
      </c>
      <c r="Z9" s="13">
        <f>TRANSICAO!$Z$9*CUSTOS!$R$4</f>
        <v>0</v>
      </c>
      <c r="AA9" s="13">
        <f>TRANSICAO!$AA$9*CUSTOS!$R$4</f>
        <v>0</v>
      </c>
      <c r="AB9" s="13">
        <f>TRANSICAO!$AB$9*CUSTOS!$R$4</f>
        <v>0</v>
      </c>
      <c r="AC9" s="13">
        <f>TRANSICAO!$AC$9*CUSTOS!$R$4</f>
        <v>13.525600000000001</v>
      </c>
      <c r="AD9" s="13">
        <f>TRANSICAO!$AD$9*CUSTOS!$R$4</f>
        <v>0</v>
      </c>
      <c r="AE9" s="13">
        <v>0</v>
      </c>
      <c r="AF9" s="13">
        <v>0</v>
      </c>
      <c r="AG9" s="13"/>
      <c r="AH9" s="13">
        <v>0</v>
      </c>
      <c r="AI9" s="13">
        <v>0</v>
      </c>
      <c r="AJ9" s="13">
        <v>0</v>
      </c>
      <c r="AK9" s="13">
        <f t="shared" si="0"/>
        <v>0</v>
      </c>
      <c r="AL9" s="13"/>
      <c r="AM9" s="13"/>
      <c r="AP9" s="13"/>
    </row>
    <row r="10" spans="1:42" ht="11.25" customHeight="1" x14ac:dyDescent="0.25">
      <c r="A10" s="103"/>
      <c r="B10" s="103" t="s">
        <v>70</v>
      </c>
      <c r="C10" s="103" t="s">
        <v>25</v>
      </c>
      <c r="D10" s="103" t="s">
        <v>25</v>
      </c>
      <c r="E10" s="103" t="s">
        <v>25</v>
      </c>
      <c r="F10" s="103" t="s">
        <v>25</v>
      </c>
      <c r="G10" s="24" t="s">
        <v>9</v>
      </c>
      <c r="H10" s="24" t="s">
        <v>64</v>
      </c>
      <c r="I10" s="24">
        <f>'MERCADO TUSD'!$U$7+0.00000001</f>
        <v>1E-8</v>
      </c>
      <c r="J10" s="15"/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/>
      <c r="U10" s="13">
        <f>TRANSICAO!$U$10*CUSTOS!$R$3</f>
        <v>0</v>
      </c>
      <c r="V10" s="13">
        <f>TRANSICAO!$V$10*CUSTOS!$R$3</f>
        <v>0</v>
      </c>
      <c r="W10" s="13">
        <f>TRANSICAO!$W$10*CUSTOS!$R$3</f>
        <v>0</v>
      </c>
      <c r="X10" s="13">
        <f>TRANSICAO!$X$10*CUSTOS!$R$3</f>
        <v>0</v>
      </c>
      <c r="Y10" s="13">
        <f>TRANSICAO!$Y$10*CUSTOS!$R$3</f>
        <v>16.990600000000001</v>
      </c>
      <c r="Z10" s="13">
        <f>TRANSICAO!$Z$10*CUSTOS!$R$3</f>
        <v>0</v>
      </c>
      <c r="AA10" s="13">
        <f>TRANSICAO!$AA$10*CUSTOS!$R$3</f>
        <v>0</v>
      </c>
      <c r="AB10" s="13">
        <f>TRANSICAO!$AB$10*CUSTOS!$R$3</f>
        <v>0</v>
      </c>
      <c r="AC10" s="13">
        <f>TRANSICAO!$AC$10*CUSTOS!$R$3</f>
        <v>29.897200000000002</v>
      </c>
      <c r="AD10" s="13">
        <f>TRANSICAO!$AD$10*CUSTOS!$R$3</f>
        <v>0</v>
      </c>
      <c r="AE10" s="13">
        <v>0</v>
      </c>
      <c r="AF10" s="13">
        <v>0</v>
      </c>
      <c r="AG10" s="13"/>
      <c r="AH10" s="13">
        <v>0</v>
      </c>
      <c r="AI10" s="13">
        <v>0</v>
      </c>
      <c r="AJ10" s="13">
        <v>0</v>
      </c>
      <c r="AK10" s="13">
        <f t="shared" si="0"/>
        <v>0</v>
      </c>
      <c r="AL10" s="13"/>
      <c r="AM10" s="13"/>
      <c r="AP10" s="13">
        <v>1</v>
      </c>
    </row>
    <row r="11" spans="1:42" ht="11.25" customHeight="1" x14ac:dyDescent="0.25">
      <c r="A11" s="103"/>
      <c r="B11" s="103"/>
      <c r="C11" s="103"/>
      <c r="D11" s="103"/>
      <c r="E11" s="103"/>
      <c r="F11" s="103"/>
      <c r="G11" s="24" t="s">
        <v>61</v>
      </c>
      <c r="H11" s="24" t="s">
        <v>60</v>
      </c>
      <c r="I11" s="24">
        <f>'MERCADO TUSD'!$U$8+0.00000001</f>
        <v>1E-8</v>
      </c>
      <c r="J11" s="15"/>
      <c r="L11" s="13">
        <f>0.84</f>
        <v>0.84</v>
      </c>
      <c r="M11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4.5403397255682325</v>
      </c>
      <c r="N11" s="13">
        <f ca="1">(+M11+O11+R11+U11+V11+W11+X11+Y11+Z11+AA11+AC11+AH11+AI11+AJ11+AK11)*CUSTOS!$M$5</f>
        <v>3.5980923397255684E-11</v>
      </c>
      <c r="O11" s="13">
        <v>1</v>
      </c>
      <c r="P11" s="13">
        <v>1</v>
      </c>
      <c r="Q11" s="13">
        <f>0.84</f>
        <v>0.84</v>
      </c>
      <c r="R11" s="13">
        <v>1</v>
      </c>
      <c r="S11" s="13">
        <v>1</v>
      </c>
      <c r="T11" s="13"/>
      <c r="U11" s="13">
        <f>TRANSICAO!$U$11*CUSTOS!$R$3</f>
        <v>0</v>
      </c>
      <c r="V11" s="13">
        <f>TRANSICAO!$V$11*CUSTOS!$R$3</f>
        <v>0</v>
      </c>
      <c r="W11" s="13">
        <f>TRANSICAO!$W$11*CUSTOS!$R$3</f>
        <v>0</v>
      </c>
      <c r="X11" s="13">
        <f>TRANSICAO!$X$11*CUSTOS!$R$3</f>
        <v>0</v>
      </c>
      <c r="Y11" s="13">
        <f>TRANSICAO!$Y$11*CUSTOS!$R$3</f>
        <v>1011.3792</v>
      </c>
      <c r="Z11" s="13">
        <f>TRANSICAO!$Z$11*CUSTOS!$R$3</f>
        <v>0</v>
      </c>
      <c r="AA11" s="13">
        <f>TRANSICAO!$AA$11*CUSTOS!$R$3</f>
        <v>0</v>
      </c>
      <c r="AB11" s="13">
        <f>TRANSICAO!$AB$11*CUSTOS!$R$3</f>
        <v>0</v>
      </c>
      <c r="AC11" s="13">
        <f>TRANSICAO!$AC$11*CUSTOS!$R$3</f>
        <v>2573.1642999999999</v>
      </c>
      <c r="AD11" s="13">
        <f>TRANSICAO!$AD$11*CUSTOS!$R$3</f>
        <v>0</v>
      </c>
      <c r="AE11" s="13">
        <v>0</v>
      </c>
      <c r="AF11" s="13">
        <v>0</v>
      </c>
      <c r="AG11" s="13"/>
      <c r="AH11" s="13">
        <v>7.0084999999999997</v>
      </c>
      <c r="AI11" s="13">
        <v>0</v>
      </c>
      <c r="AJ11" s="13">
        <f ca="1">$N$63</f>
        <v>0</v>
      </c>
      <c r="AK11" s="13">
        <f t="shared" ca="1" si="0"/>
        <v>0</v>
      </c>
      <c r="AL11" s="13"/>
      <c r="AM11" s="13"/>
      <c r="AP11" s="13">
        <v>1</v>
      </c>
    </row>
    <row r="12" spans="1:42" ht="11.25" customHeight="1" x14ac:dyDescent="0.25">
      <c r="A12" s="103"/>
      <c r="B12" s="103"/>
      <c r="C12" s="103"/>
      <c r="D12" s="103"/>
      <c r="E12" s="103"/>
      <c r="F12" s="103"/>
      <c r="G12" s="24" t="s">
        <v>62</v>
      </c>
      <c r="H12" s="24" t="s">
        <v>60</v>
      </c>
      <c r="I12" s="24">
        <f>'MERCADO TUSD'!$U$9+0.00000001</f>
        <v>1E-8</v>
      </c>
      <c r="J12" s="15"/>
      <c r="L12" s="13">
        <f>0.84</f>
        <v>0.84</v>
      </c>
      <c r="M12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4.5403397255682325</v>
      </c>
      <c r="N12" s="13">
        <f ca="1">(+M12+O12+R12+U12+V12+W12+X12+Y12+Z12+AA12+AC12+AH12+AI12+AJ12+AK12)*CUSTOS!$M$5</f>
        <v>1.3548839725568233E-13</v>
      </c>
      <c r="O12" s="13">
        <v>1</v>
      </c>
      <c r="P12" s="13">
        <v>1</v>
      </c>
      <c r="Q12" s="13">
        <f>0.84</f>
        <v>0.84</v>
      </c>
      <c r="R12" s="13">
        <v>1</v>
      </c>
      <c r="S12" s="13">
        <v>1</v>
      </c>
      <c r="T12" s="13"/>
      <c r="U12" s="13">
        <f>TRANSICAO!$U$12*CUSTOS!$R$3</f>
        <v>0</v>
      </c>
      <c r="V12" s="13">
        <f>TRANSICAO!$V$12*CUSTOS!$R$3</f>
        <v>0</v>
      </c>
      <c r="W12" s="13">
        <f>TRANSICAO!$W$12*CUSTOS!$R$3</f>
        <v>0</v>
      </c>
      <c r="X12" s="13">
        <f>TRANSICAO!$X$12*CUSTOS!$R$3</f>
        <v>0</v>
      </c>
      <c r="Y12" s="13">
        <f>TRANSICAO!$Y$12*CUSTOS!$R$3</f>
        <v>0</v>
      </c>
      <c r="Z12" s="13">
        <f>TRANSICAO!$Z$12*CUSTOS!$R$3</f>
        <v>0</v>
      </c>
      <c r="AA12" s="13">
        <f>TRANSICAO!$AA$12*CUSTOS!$R$3</f>
        <v>0</v>
      </c>
      <c r="AB12" s="13">
        <f>TRANSICAO!$AB$12*CUSTOS!$R$3</f>
        <v>0</v>
      </c>
      <c r="AC12" s="13">
        <f>TRANSICAO!$AC$12*CUSTOS!$R$3</f>
        <v>0</v>
      </c>
      <c r="AD12" s="13">
        <f>TRANSICAO!$AD$12*CUSTOS!$R$3</f>
        <v>0</v>
      </c>
      <c r="AE12" s="13">
        <v>0</v>
      </c>
      <c r="AF12" s="13">
        <v>0</v>
      </c>
      <c r="AG12" s="13"/>
      <c r="AH12" s="13">
        <v>7.0084999999999997</v>
      </c>
      <c r="AI12" s="13">
        <v>0</v>
      </c>
      <c r="AJ12" s="13">
        <f ca="1">$N$63</f>
        <v>0</v>
      </c>
      <c r="AK12" s="13">
        <f t="shared" ca="1" si="0"/>
        <v>0</v>
      </c>
      <c r="AL12" s="13"/>
      <c r="AM12" s="13"/>
      <c r="AP12" s="13">
        <v>1</v>
      </c>
    </row>
    <row r="13" spans="1:42" ht="11.25" customHeight="1" x14ac:dyDescent="0.25">
      <c r="A13" s="103"/>
      <c r="B13" s="103"/>
      <c r="C13" s="103"/>
      <c r="D13" s="103"/>
      <c r="E13" s="103" t="s">
        <v>68</v>
      </c>
      <c r="F13" s="103" t="s">
        <v>25</v>
      </c>
      <c r="G13" s="24" t="s">
        <v>61</v>
      </c>
      <c r="H13" s="24" t="s">
        <v>60</v>
      </c>
      <c r="I13" s="24">
        <f>'MERCADO TUSD'!$U$10+0.00000001</f>
        <v>1E-8</v>
      </c>
      <c r="J13" s="15"/>
      <c r="L13" s="13">
        <v>0</v>
      </c>
      <c r="M13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4.5403397255682325</v>
      </c>
      <c r="N13" s="13">
        <f ca="1">(+M13+O13+R13+U13+V13+W13+X13+Y13+Z13+AA13+AC13+AH13+AI13+AJ13+AK13)*CUSTOS!$M$5</f>
        <v>3.5970923397255682E-11</v>
      </c>
      <c r="O13" s="13">
        <v>1</v>
      </c>
      <c r="P13" s="13">
        <v>0</v>
      </c>
      <c r="Q13" s="13">
        <v>0</v>
      </c>
      <c r="R13" s="13">
        <v>0</v>
      </c>
      <c r="S13" s="13">
        <v>0</v>
      </c>
      <c r="T13" s="13"/>
      <c r="U13" s="13">
        <f>TRANSICAO!$U$13*CUSTOS!$R$3</f>
        <v>0</v>
      </c>
      <c r="V13" s="13">
        <f>TRANSICAO!$V$13*CUSTOS!$R$3</f>
        <v>0</v>
      </c>
      <c r="W13" s="13">
        <f>TRANSICAO!$W$13*CUSTOS!$R$3</f>
        <v>0</v>
      </c>
      <c r="X13" s="13">
        <f>TRANSICAO!$X$13*CUSTOS!$R$3</f>
        <v>0</v>
      </c>
      <c r="Y13" s="13">
        <f>TRANSICAO!$Y$13*CUSTOS!$R$3</f>
        <v>1011.3792</v>
      </c>
      <c r="Z13" s="13">
        <f>TRANSICAO!$Z$13*CUSTOS!$R$3</f>
        <v>0</v>
      </c>
      <c r="AA13" s="13">
        <f>TRANSICAO!$AA$13*CUSTOS!$R$3</f>
        <v>0</v>
      </c>
      <c r="AB13" s="13">
        <f>TRANSICAO!$AB$13*CUSTOS!$R$3</f>
        <v>0</v>
      </c>
      <c r="AC13" s="13">
        <f>TRANSICAO!$AC$13*CUSTOS!$R$3</f>
        <v>2573.1642999999999</v>
      </c>
      <c r="AD13" s="13">
        <f>TRANSICAO!$AD$13*CUSTOS!$R$3</f>
        <v>0</v>
      </c>
      <c r="AE13" s="13">
        <v>0</v>
      </c>
      <c r="AF13" s="13">
        <v>0</v>
      </c>
      <c r="AG13" s="13"/>
      <c r="AH13" s="13">
        <v>7.0084999999999997</v>
      </c>
      <c r="AI13" s="13">
        <v>0</v>
      </c>
      <c r="AJ13" s="13">
        <f ca="1">$N$63</f>
        <v>0</v>
      </c>
      <c r="AK13" s="13">
        <f t="shared" ca="1" si="0"/>
        <v>0</v>
      </c>
      <c r="AL13" s="13"/>
      <c r="AM13" s="13"/>
      <c r="AP13" s="13">
        <v>1</v>
      </c>
    </row>
    <row r="14" spans="1:42" ht="11.25" customHeight="1" x14ac:dyDescent="0.25">
      <c r="A14" s="103"/>
      <c r="B14" s="103"/>
      <c r="C14" s="103"/>
      <c r="D14" s="103"/>
      <c r="E14" s="103"/>
      <c r="F14" s="103"/>
      <c r="G14" s="24" t="s">
        <v>62</v>
      </c>
      <c r="H14" s="24" t="s">
        <v>60</v>
      </c>
      <c r="I14" s="24">
        <f>'MERCADO TUSD'!$U$11+0.00000001</f>
        <v>1E-8</v>
      </c>
      <c r="J14" s="15"/>
      <c r="L14" s="13">
        <v>0</v>
      </c>
      <c r="M14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4.5403397255682325</v>
      </c>
      <c r="N14" s="13">
        <f ca="1">(+M14+O14+R14+U14+V14+W14+X14+Y14+Z14+AA14+AC14+AH14+AI14+AJ14+AK14)*CUSTOS!$M$5</f>
        <v>1.2548839725568232E-13</v>
      </c>
      <c r="O14" s="13">
        <v>1</v>
      </c>
      <c r="P14" s="13">
        <v>0</v>
      </c>
      <c r="Q14" s="13">
        <v>0</v>
      </c>
      <c r="R14" s="13">
        <v>0</v>
      </c>
      <c r="S14" s="13">
        <v>0</v>
      </c>
      <c r="T14" s="13"/>
      <c r="U14" s="13">
        <f>TRANSICAO!$U$14*CUSTOS!$R$3</f>
        <v>0</v>
      </c>
      <c r="V14" s="13">
        <f>TRANSICAO!$V$14*CUSTOS!$R$3</f>
        <v>0</v>
      </c>
      <c r="W14" s="13">
        <f>TRANSICAO!$W$14*CUSTOS!$R$3</f>
        <v>0</v>
      </c>
      <c r="X14" s="13">
        <f>TRANSICAO!$X$14*CUSTOS!$R$3</f>
        <v>0</v>
      </c>
      <c r="Y14" s="13">
        <f>TRANSICAO!$Y$14*CUSTOS!$R$3</f>
        <v>0</v>
      </c>
      <c r="Z14" s="13">
        <f>TRANSICAO!$Z$14*CUSTOS!$R$3</f>
        <v>0</v>
      </c>
      <c r="AA14" s="13">
        <f>TRANSICAO!$AA$14*CUSTOS!$R$3</f>
        <v>0</v>
      </c>
      <c r="AB14" s="13">
        <f>TRANSICAO!$AB$14*CUSTOS!$R$3</f>
        <v>0</v>
      </c>
      <c r="AC14" s="13">
        <f>TRANSICAO!$AC$14*CUSTOS!$R$3</f>
        <v>0</v>
      </c>
      <c r="AD14" s="13">
        <f>TRANSICAO!$AD$14*CUSTOS!$R$3</f>
        <v>0</v>
      </c>
      <c r="AE14" s="13">
        <v>0</v>
      </c>
      <c r="AF14" s="13">
        <v>0</v>
      </c>
      <c r="AG14" s="13"/>
      <c r="AH14" s="13">
        <v>7.0084999999999997</v>
      </c>
      <c r="AI14" s="13">
        <v>0</v>
      </c>
      <c r="AJ14" s="13">
        <f ca="1">$N$63</f>
        <v>0</v>
      </c>
      <c r="AK14" s="13">
        <f t="shared" ca="1" si="0"/>
        <v>0</v>
      </c>
      <c r="AL14" s="13"/>
      <c r="AM14" s="13"/>
      <c r="AP14" s="13">
        <v>1</v>
      </c>
    </row>
    <row r="15" spans="1:42" ht="11.25" customHeight="1" x14ac:dyDescent="0.25">
      <c r="A15" s="103" t="s">
        <v>71</v>
      </c>
      <c r="B15" s="103" t="s">
        <v>69</v>
      </c>
      <c r="C15" s="103" t="s">
        <v>25</v>
      </c>
      <c r="D15" s="103" t="s">
        <v>25</v>
      </c>
      <c r="E15" s="23" t="s">
        <v>72</v>
      </c>
      <c r="F15" s="23" t="s">
        <v>25</v>
      </c>
      <c r="G15" s="24" t="s">
        <v>9</v>
      </c>
      <c r="H15" s="24" t="s">
        <v>64</v>
      </c>
      <c r="I15" s="24">
        <f>'MERCADO TUSD'!$U$12+0.00000001</f>
        <v>1E-8</v>
      </c>
      <c r="J15" s="15"/>
      <c r="L15" s="13">
        <v>0</v>
      </c>
      <c r="M15" s="13">
        <v>1.06E-2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/>
      <c r="U15" s="13">
        <f>TRANSICAO!$U$15*CUSTOS!$T$4</f>
        <v>0</v>
      </c>
      <c r="V15" s="13">
        <f>TRANSICAO!$V$15*CUSTOS!$T$4</f>
        <v>0</v>
      </c>
      <c r="W15" s="13">
        <f>TRANSICAO!$W$15*CUSTOS!$T$4</f>
        <v>0</v>
      </c>
      <c r="X15" s="13">
        <f>TRANSICAO!$X$15*CUSTOS!$T$4</f>
        <v>0</v>
      </c>
      <c r="Y15" s="13">
        <f>TRANSICAO!$Y$15*CUSTOS!$T$4</f>
        <v>0</v>
      </c>
      <c r="Z15" s="13">
        <f>TRANSICAO!$Z$15*CUSTOS!$T$4</f>
        <v>0</v>
      </c>
      <c r="AA15" s="13">
        <f>TRANSICAO!$AA$15*CUSTOS!$T$4</f>
        <v>0</v>
      </c>
      <c r="AB15" s="13">
        <f>TRANSICAO!$AB$15*CUSTOS!$T$4</f>
        <v>0</v>
      </c>
      <c r="AC15" s="13">
        <f>TRANSICAO!$AC$15*CUSTOS!$T$4</f>
        <v>13.951499999999999</v>
      </c>
      <c r="AD15" s="13">
        <f>TRANSICAO!$AD$15*CUSTOS!$T$4</f>
        <v>0</v>
      </c>
      <c r="AE15" s="13">
        <v>0</v>
      </c>
      <c r="AF15" s="13">
        <v>0</v>
      </c>
      <c r="AG15" s="13"/>
      <c r="AH15" s="13">
        <v>0</v>
      </c>
      <c r="AI15" s="13">
        <v>0</v>
      </c>
      <c r="AJ15" s="13">
        <v>0</v>
      </c>
      <c r="AK15" s="13">
        <f t="shared" si="0"/>
        <v>0</v>
      </c>
      <c r="AL15" s="13"/>
      <c r="AM15" s="13"/>
      <c r="AP15" s="13"/>
    </row>
    <row r="16" spans="1:42" ht="11.25" customHeight="1" x14ac:dyDescent="0.25">
      <c r="A16" s="103"/>
      <c r="B16" s="103"/>
      <c r="C16" s="103"/>
      <c r="D16" s="103"/>
      <c r="E16" s="23" t="s">
        <v>73</v>
      </c>
      <c r="F16" s="23" t="s">
        <v>25</v>
      </c>
      <c r="G16" s="24" t="s">
        <v>9</v>
      </c>
      <c r="H16" s="24" t="s">
        <v>64</v>
      </c>
      <c r="I16" s="24">
        <f>'MERCADO TUSD'!$U$13+0.00000001</f>
        <v>1E-8</v>
      </c>
      <c r="J16" s="15"/>
      <c r="L16" s="13">
        <v>0</v>
      </c>
      <c r="M16" s="13">
        <v>1.06E-2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/>
      <c r="U16" s="13">
        <f>TRANSICAO!$U$16*CUSTOS!$T$4</f>
        <v>0</v>
      </c>
      <c r="V16" s="13">
        <f>TRANSICAO!$V$16*CUSTOS!$T$4</f>
        <v>0</v>
      </c>
      <c r="W16" s="13">
        <f>TRANSICAO!$W$16*CUSTOS!$T$4</f>
        <v>0</v>
      </c>
      <c r="X16" s="13">
        <f>TRANSICAO!$X$16*CUSTOS!$T$4</f>
        <v>0</v>
      </c>
      <c r="Y16" s="13">
        <f>TRANSICAO!$Y$16*CUSTOS!$T$4</f>
        <v>0</v>
      </c>
      <c r="Z16" s="13">
        <f>TRANSICAO!$Z$16*CUSTOS!$T$4</f>
        <v>0</v>
      </c>
      <c r="AA16" s="13">
        <f>TRANSICAO!$AA$16*CUSTOS!$T$4</f>
        <v>0</v>
      </c>
      <c r="AB16" s="13">
        <f>TRANSICAO!$AB$16*CUSTOS!$T$4</f>
        <v>0</v>
      </c>
      <c r="AC16" s="13">
        <f>TRANSICAO!$AC$16*CUSTOS!$T$4</f>
        <v>28.384799999999998</v>
      </c>
      <c r="AD16" s="13">
        <f>TRANSICAO!$AD$16*CUSTOS!$T$4</f>
        <v>0</v>
      </c>
      <c r="AE16" s="13">
        <v>0</v>
      </c>
      <c r="AF16" s="13">
        <v>0</v>
      </c>
      <c r="AG16" s="13"/>
      <c r="AH16" s="13">
        <v>0</v>
      </c>
      <c r="AI16" s="13">
        <v>0</v>
      </c>
      <c r="AJ16" s="13">
        <v>0</v>
      </c>
      <c r="AK16" s="13">
        <f t="shared" si="0"/>
        <v>0</v>
      </c>
      <c r="AL16" s="13"/>
      <c r="AM16" s="13"/>
      <c r="AP16" s="13"/>
    </row>
    <row r="17" spans="1:42" ht="11.25" customHeight="1" x14ac:dyDescent="0.25">
      <c r="A17" s="103" t="s">
        <v>22</v>
      </c>
      <c r="B17" s="103" t="s">
        <v>76</v>
      </c>
      <c r="C17" s="103" t="s">
        <v>24</v>
      </c>
      <c r="D17" s="103" t="s">
        <v>24</v>
      </c>
      <c r="E17" s="103" t="s">
        <v>25</v>
      </c>
      <c r="F17" s="103" t="s">
        <v>25</v>
      </c>
      <c r="G17" s="24" t="s">
        <v>61</v>
      </c>
      <c r="H17" s="24" t="s">
        <v>60</v>
      </c>
      <c r="I17" s="24">
        <f>'MERCADO TUSD'!$U$14</f>
        <v>0</v>
      </c>
      <c r="J17" s="15"/>
      <c r="L17" s="13">
        <f>1</f>
        <v>1</v>
      </c>
      <c r="M1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2.2830958348558199</v>
      </c>
      <c r="N17" s="13">
        <f ca="1">(+M17+O17+R17+U17+V17+W17+X17+Y17+Z17+AA17+AC17+AH17+AI17+AJ17+AK17)*CUSTOS!$M$5</f>
        <v>1.5949655958348557E-11</v>
      </c>
      <c r="O17" s="13">
        <v>1</v>
      </c>
      <c r="P17" s="13">
        <v>1</v>
      </c>
      <c r="Q17" s="13">
        <f>1</f>
        <v>1</v>
      </c>
      <c r="R17" s="13">
        <v>1</v>
      </c>
      <c r="S17" s="13">
        <v>1</v>
      </c>
      <c r="T17" s="13"/>
      <c r="U17" s="13">
        <f>TRANSICAO!$U$17*CUSTOS!$T$3</f>
        <v>0</v>
      </c>
      <c r="V17" s="13">
        <f>TRANSICAO!$V$17*CUSTOS!$T$3</f>
        <v>0</v>
      </c>
      <c r="W17" s="13">
        <f>TRANSICAO!$W$17*CUSTOS!$T$3</f>
        <v>0</v>
      </c>
      <c r="X17" s="13">
        <f>TRANSICAO!$X$17*CUSTOS!$T$3</f>
        <v>0</v>
      </c>
      <c r="Y17" s="13">
        <f>TRANSICAO!$Y$17*CUSTOS!$T$3</f>
        <v>370.27269999999999</v>
      </c>
      <c r="Z17" s="13">
        <f>TRANSICAO!$Z$17*CUSTOS!$T$3</f>
        <v>0</v>
      </c>
      <c r="AA17" s="13">
        <f>TRANSICAO!$AA$17*CUSTOS!$T$3</f>
        <v>0</v>
      </c>
      <c r="AB17" s="13">
        <f>TRANSICAO!$AB$17*CUSTOS!$T$3</f>
        <v>0</v>
      </c>
      <c r="AC17" s="13">
        <f>TRANSICAO!$AC$17*CUSTOS!$T$3</f>
        <v>1202.2574</v>
      </c>
      <c r="AD17" s="13">
        <f>TRANSICAO!$AD$17*CUSTOS!$T$3</f>
        <v>0</v>
      </c>
      <c r="AE17" s="13">
        <v>0</v>
      </c>
      <c r="AF17" s="13">
        <v>0</v>
      </c>
      <c r="AG17" s="13"/>
      <c r="AH17" s="13">
        <v>18.1524</v>
      </c>
      <c r="AI17" s="13">
        <v>0</v>
      </c>
      <c r="AJ17" s="13">
        <f ca="1">$N$64</f>
        <v>0</v>
      </c>
      <c r="AK17" s="13">
        <f t="shared" ca="1" si="0"/>
        <v>0</v>
      </c>
      <c r="AL17" s="13"/>
      <c r="AM17" s="13"/>
      <c r="AP17" s="13">
        <v>1</v>
      </c>
    </row>
    <row r="18" spans="1:42" ht="11.25" customHeight="1" x14ac:dyDescent="0.25">
      <c r="A18" s="103"/>
      <c r="B18" s="103"/>
      <c r="C18" s="103"/>
      <c r="D18" s="103"/>
      <c r="E18" s="103"/>
      <c r="F18" s="103"/>
      <c r="G18" s="24" t="s">
        <v>74</v>
      </c>
      <c r="H18" s="24" t="s">
        <v>60</v>
      </c>
      <c r="I18" s="24">
        <f>'MERCADO TUSD'!$U$15</f>
        <v>0</v>
      </c>
      <c r="J18" s="15"/>
      <c r="L18" s="13">
        <f>1</f>
        <v>1</v>
      </c>
      <c r="M1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2.2830958348558199</v>
      </c>
      <c r="N18" s="13">
        <f ca="1">(+M18+O18+R18+U18+V18+W18+X18+Y18+Z18+AA18+AC18+AH18+AI18+AJ18+AK18)*CUSTOS!$M$5</f>
        <v>9.6595389583485571E-12</v>
      </c>
      <c r="O18" s="13">
        <v>1</v>
      </c>
      <c r="P18" s="13">
        <v>1</v>
      </c>
      <c r="Q18" s="13">
        <f>1</f>
        <v>1</v>
      </c>
      <c r="R18" s="13">
        <v>1</v>
      </c>
      <c r="S18" s="13">
        <v>1</v>
      </c>
      <c r="T18" s="13"/>
      <c r="U18" s="13">
        <f>TRANSICAO!$U$18*CUSTOS!$T$3</f>
        <v>0</v>
      </c>
      <c r="V18" s="13">
        <f>TRANSICAO!$V$18*CUSTOS!$T$3</f>
        <v>0</v>
      </c>
      <c r="W18" s="13">
        <f>TRANSICAO!$W$18*CUSTOS!$T$3</f>
        <v>0</v>
      </c>
      <c r="X18" s="13">
        <f>TRANSICAO!$X$18*CUSTOS!$T$3</f>
        <v>0</v>
      </c>
      <c r="Y18" s="13">
        <f>TRANSICAO!$Y$18*CUSTOS!$T$3</f>
        <v>222.1636</v>
      </c>
      <c r="Z18" s="13">
        <f>TRANSICAO!$Z$18*CUSTOS!$T$3</f>
        <v>0</v>
      </c>
      <c r="AA18" s="13">
        <f>TRANSICAO!$AA$18*CUSTOS!$T$3</f>
        <v>0</v>
      </c>
      <c r="AB18" s="13">
        <f>TRANSICAO!$AB$18*CUSTOS!$T$3</f>
        <v>0</v>
      </c>
      <c r="AC18" s="13">
        <f>TRANSICAO!$AC$18*CUSTOS!$T$3</f>
        <v>721.35479999999995</v>
      </c>
      <c r="AD18" s="13">
        <f>TRANSICAO!$AD$18*CUSTOS!$T$3</f>
        <v>0</v>
      </c>
      <c r="AE18" s="13">
        <v>0</v>
      </c>
      <c r="AF18" s="13">
        <v>0</v>
      </c>
      <c r="AG18" s="13"/>
      <c r="AH18" s="13">
        <v>18.1524</v>
      </c>
      <c r="AI18" s="13">
        <v>0</v>
      </c>
      <c r="AJ18" s="13">
        <f ca="1">$N$64</f>
        <v>0</v>
      </c>
      <c r="AK18" s="13">
        <f t="shared" ca="1" si="0"/>
        <v>0</v>
      </c>
      <c r="AL18" s="13"/>
      <c r="AM18" s="13"/>
      <c r="AP18" s="13">
        <v>1</v>
      </c>
    </row>
    <row r="19" spans="1:42" ht="11.25" customHeight="1" x14ac:dyDescent="0.25">
      <c r="A19" s="103"/>
      <c r="B19" s="103"/>
      <c r="C19" s="103"/>
      <c r="D19" s="103"/>
      <c r="E19" s="103"/>
      <c r="F19" s="103"/>
      <c r="G19" s="24" t="s">
        <v>62</v>
      </c>
      <c r="H19" s="24" t="s">
        <v>60</v>
      </c>
      <c r="I19" s="24">
        <f>'MERCADO TUSD'!$U$16</f>
        <v>0</v>
      </c>
      <c r="J19" s="15"/>
      <c r="L19" s="13">
        <f>1</f>
        <v>1</v>
      </c>
      <c r="M1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2.2830958348558199</v>
      </c>
      <c r="N19" s="13">
        <f ca="1">(+M19+O19+R19+U19+V19+W19+X19+Y19+Z19+AA19+AC19+AH19+AI19+AJ19+AK19)*CUSTOS!$M$5</f>
        <v>3.3700899583485584E-12</v>
      </c>
      <c r="O19" s="13">
        <v>1</v>
      </c>
      <c r="P19" s="13">
        <v>1</v>
      </c>
      <c r="Q19" s="13">
        <f>1</f>
        <v>1</v>
      </c>
      <c r="R19" s="13">
        <v>1</v>
      </c>
      <c r="S19" s="13">
        <v>1</v>
      </c>
      <c r="T19" s="13"/>
      <c r="U19" s="13">
        <f>TRANSICAO!$U$19*CUSTOS!$T$3</f>
        <v>0</v>
      </c>
      <c r="V19" s="13">
        <f>TRANSICAO!$V$19*CUSTOS!$T$3</f>
        <v>0</v>
      </c>
      <c r="W19" s="13">
        <f>TRANSICAO!$W$19*CUSTOS!$T$3</f>
        <v>0</v>
      </c>
      <c r="X19" s="13">
        <f>TRANSICAO!$X$19*CUSTOS!$T$3</f>
        <v>0</v>
      </c>
      <c r="Y19" s="13">
        <f>TRANSICAO!$Y$19*CUSTOS!$T$3</f>
        <v>74.122200000000007</v>
      </c>
      <c r="Z19" s="13">
        <f>TRANSICAO!$Z$19*CUSTOS!$T$3</f>
        <v>0</v>
      </c>
      <c r="AA19" s="13">
        <f>TRANSICAO!$AA$19*CUSTOS!$T$3</f>
        <v>0</v>
      </c>
      <c r="AB19" s="13">
        <f>TRANSICAO!$AB$19*CUSTOS!$T$3</f>
        <v>0</v>
      </c>
      <c r="AC19" s="13">
        <f>TRANSICAO!$AC$19*CUSTOS!$T$3</f>
        <v>240.4513</v>
      </c>
      <c r="AD19" s="13">
        <f>TRANSICAO!$AD$19*CUSTOS!$T$3</f>
        <v>0</v>
      </c>
      <c r="AE19" s="13">
        <v>0</v>
      </c>
      <c r="AF19" s="13">
        <v>0</v>
      </c>
      <c r="AG19" s="13"/>
      <c r="AH19" s="13">
        <v>18.1524</v>
      </c>
      <c r="AI19" s="13">
        <v>0</v>
      </c>
      <c r="AJ19" s="13">
        <f ca="1">$N$64</f>
        <v>0</v>
      </c>
      <c r="AK19" s="13">
        <f t="shared" ca="1" si="0"/>
        <v>0</v>
      </c>
      <c r="AL19" s="13"/>
      <c r="AM19" s="13"/>
      <c r="AP19" s="13">
        <v>1</v>
      </c>
    </row>
    <row r="20" spans="1:42" ht="11.25" customHeight="1" x14ac:dyDescent="0.25">
      <c r="A20" s="103"/>
      <c r="B20" s="103" t="s">
        <v>23</v>
      </c>
      <c r="C20" s="103" t="s">
        <v>24</v>
      </c>
      <c r="D20" s="23" t="s">
        <v>24</v>
      </c>
      <c r="E20" s="23" t="s">
        <v>25</v>
      </c>
      <c r="F20" s="23" t="s">
        <v>25</v>
      </c>
      <c r="G20" s="24" t="s">
        <v>67</v>
      </c>
      <c r="H20" s="24" t="s">
        <v>60</v>
      </c>
      <c r="I20" s="24">
        <f>'MERCADO TUSD'!$U$17</f>
        <v>3454.3520000000003</v>
      </c>
      <c r="J20" s="15"/>
      <c r="L20" s="13">
        <f>1</f>
        <v>1</v>
      </c>
      <c r="M2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2.2830958348558199</v>
      </c>
      <c r="N20" s="13">
        <f ca="1">(+M20+O20+R20+U20+V20+W20+X20+Y20+Z20+AA20+AC20+AH20+AI20+AJ20+AK20)*CUSTOS!$M$5</f>
        <v>6.0479149583485581E-12</v>
      </c>
      <c r="O20" s="13">
        <v>1</v>
      </c>
      <c r="P20" s="13">
        <v>1</v>
      </c>
      <c r="Q20" s="13">
        <f>1</f>
        <v>1</v>
      </c>
      <c r="R20" s="13">
        <v>1</v>
      </c>
      <c r="S20" s="13">
        <v>1</v>
      </c>
      <c r="T20" s="13"/>
      <c r="U20" s="13">
        <f>TRANSICAO!$U$20*CUSTOS!$T$3</f>
        <v>0</v>
      </c>
      <c r="V20" s="13">
        <f>TRANSICAO!$V$20*CUSTOS!$T$3</f>
        <v>0</v>
      </c>
      <c r="W20" s="13">
        <f>TRANSICAO!$W$20*CUSTOS!$T$3</f>
        <v>0</v>
      </c>
      <c r="X20" s="13">
        <f>TRANSICAO!$X$20*CUSTOS!$T$3</f>
        <v>0</v>
      </c>
      <c r="Y20" s="13">
        <f>TRANSICAO!$Y$20*CUSTOS!$T$3</f>
        <v>137.0754</v>
      </c>
      <c r="Z20" s="13">
        <f>TRANSICAO!$Z$20*CUSTOS!$T$3</f>
        <v>0</v>
      </c>
      <c r="AA20" s="13">
        <f>TRANSICAO!$AA$20*CUSTOS!$T$3</f>
        <v>0</v>
      </c>
      <c r="AB20" s="13">
        <f>TRANSICAO!$AB$20*CUSTOS!$T$3</f>
        <v>0</v>
      </c>
      <c r="AC20" s="13">
        <f>TRANSICAO!$AC$20*CUSTOS!$T$3</f>
        <v>445.28059999999999</v>
      </c>
      <c r="AD20" s="13">
        <f>TRANSICAO!$AD$20*CUSTOS!$T$3</f>
        <v>0</v>
      </c>
      <c r="AE20" s="13">
        <v>0</v>
      </c>
      <c r="AF20" s="13">
        <v>0</v>
      </c>
      <c r="AG20" s="13"/>
      <c r="AH20" s="13">
        <v>18.1524</v>
      </c>
      <c r="AI20" s="13">
        <v>0</v>
      </c>
      <c r="AJ20" s="13">
        <f ca="1">$N$64</f>
        <v>0</v>
      </c>
      <c r="AK20" s="13">
        <f t="shared" ca="1" si="0"/>
        <v>0</v>
      </c>
      <c r="AL20" s="13"/>
      <c r="AM20" s="13"/>
      <c r="AP20" s="13">
        <v>1</v>
      </c>
    </row>
    <row r="21" spans="1:42" ht="11.25" customHeight="1" x14ac:dyDescent="0.25">
      <c r="A21" s="103"/>
      <c r="B21" s="103"/>
      <c r="C21" s="103"/>
      <c r="D21" s="23" t="s">
        <v>41</v>
      </c>
      <c r="E21" s="23" t="s">
        <v>25</v>
      </c>
      <c r="F21" s="23" t="s">
        <v>25</v>
      </c>
      <c r="G21" s="24" t="s">
        <v>67</v>
      </c>
      <c r="H21" s="24" t="s">
        <v>60</v>
      </c>
      <c r="I21" s="24">
        <f>'MERCADO TUSD'!$U$18</f>
        <v>0.48000000000000009</v>
      </c>
      <c r="J21" s="15"/>
      <c r="L21" s="13">
        <v>0</v>
      </c>
      <c r="M2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2.2830958348558199</v>
      </c>
      <c r="N21" s="13">
        <f ca="1">(+M21+O21+R21+U21+V21+W21+X21+Y21+Z21+AA21+AC21+AH21+AI21+AJ21+AK21)*CUSTOS!$M$5</f>
        <v>6.0379149583485579E-12</v>
      </c>
      <c r="O21" s="13">
        <f>1 - CUSTOS!$M$24</f>
        <v>1</v>
      </c>
      <c r="P21" s="13">
        <v>0</v>
      </c>
      <c r="Q21" s="13">
        <v>0</v>
      </c>
      <c r="R21" s="13">
        <v>0</v>
      </c>
      <c r="S21" s="13">
        <f>1 - CUSTOS!$M$24</f>
        <v>1</v>
      </c>
      <c r="T21" s="13"/>
      <c r="U21" s="13">
        <f>TRANSICAO!$U$21*CUSTOS!$T$3</f>
        <v>0</v>
      </c>
      <c r="V21" s="13">
        <f>TRANSICAO!$V$21*CUSTOS!$T$3</f>
        <v>0</v>
      </c>
      <c r="W21" s="13">
        <f>TRANSICAO!$W$21*CUSTOS!$T$3</f>
        <v>0</v>
      </c>
      <c r="X21" s="13">
        <f>TRANSICAO!$X$21*CUSTOS!$T$3</f>
        <v>0</v>
      </c>
      <c r="Y21" s="13">
        <f>TRANSICAO!$Y$21*CUSTOS!$T$3</f>
        <v>137.0754</v>
      </c>
      <c r="Z21" s="13">
        <f>TRANSICAO!$Z$21*CUSTOS!$T$3</f>
        <v>0</v>
      </c>
      <c r="AA21" s="13">
        <f>TRANSICAO!$AA$21*CUSTOS!$T$3</f>
        <v>0</v>
      </c>
      <c r="AB21" s="13">
        <f>TRANSICAO!$AB$21*CUSTOS!$T$3</f>
        <v>0</v>
      </c>
      <c r="AC21" s="13">
        <f>TRANSICAO!$AC$21*CUSTOS!$T$3</f>
        <v>445.28059999999999</v>
      </c>
      <c r="AD21" s="13">
        <f>TRANSICAO!$AD$21*CUSTOS!$T$3</f>
        <v>0</v>
      </c>
      <c r="AE21" s="13">
        <v>0</v>
      </c>
      <c r="AF21" s="13">
        <v>0</v>
      </c>
      <c r="AG21" s="13"/>
      <c r="AH21" s="13">
        <f>(1 - CUSTOS!$M$24)*18.1524</f>
        <v>18.1524</v>
      </c>
      <c r="AI21" s="13">
        <v>0</v>
      </c>
      <c r="AJ21" s="13">
        <f ca="1">$N$64*(1-CUSTOS!$M$24)</f>
        <v>0</v>
      </c>
      <c r="AK21" s="13">
        <f t="shared" ca="1" si="0"/>
        <v>0</v>
      </c>
      <c r="AL21" s="13"/>
      <c r="AM21" s="13"/>
      <c r="AP21" s="13">
        <f>IF((1 - CUSTOS!$M$24)&lt;&gt;0,1/(1 - CUSTOS!$M$24),1)</f>
        <v>1</v>
      </c>
    </row>
    <row r="22" spans="1:42" ht="11.25" customHeight="1" x14ac:dyDescent="0.25">
      <c r="A22" s="103"/>
      <c r="B22" s="103"/>
      <c r="C22" s="103"/>
      <c r="D22" s="23" t="s">
        <v>42</v>
      </c>
      <c r="E22" s="23" t="s">
        <v>25</v>
      </c>
      <c r="F22" s="23" t="s">
        <v>25</v>
      </c>
      <c r="G22" s="24" t="s">
        <v>67</v>
      </c>
      <c r="H22" s="24" t="s">
        <v>60</v>
      </c>
      <c r="I22" s="24">
        <f>'MERCADO TUSD'!$U$19</f>
        <v>7.3130000000000006</v>
      </c>
      <c r="J22" s="15"/>
      <c r="L22" s="13">
        <v>0</v>
      </c>
      <c r="M2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2.2830958348558199</v>
      </c>
      <c r="N22" s="13">
        <f ca="1">(+M22+O22+R22+U22+V22+W22+X22+Y22+Z22+AA22+AC22+AH22+AI22+AJ22+AK22)*CUSTOS!$M$5</f>
        <v>6.0379149583485579E-12</v>
      </c>
      <c r="O22" s="13">
        <f>1 - CUSTOS!$M$25</f>
        <v>1</v>
      </c>
      <c r="P22" s="13">
        <v>0</v>
      </c>
      <c r="Q22" s="13">
        <v>0</v>
      </c>
      <c r="R22" s="13">
        <v>0</v>
      </c>
      <c r="S22" s="13">
        <f>1 - CUSTOS!$M$25</f>
        <v>1</v>
      </c>
      <c r="T22" s="13"/>
      <c r="U22" s="13">
        <f>TRANSICAO!$U$22*CUSTOS!$T$3</f>
        <v>0</v>
      </c>
      <c r="V22" s="13">
        <f>TRANSICAO!$V$22*CUSTOS!$T$3</f>
        <v>0</v>
      </c>
      <c r="W22" s="13">
        <f>TRANSICAO!$W$22*CUSTOS!$T$3</f>
        <v>0</v>
      </c>
      <c r="X22" s="13">
        <f>TRANSICAO!$X$22*CUSTOS!$T$3</f>
        <v>0</v>
      </c>
      <c r="Y22" s="13">
        <f>TRANSICAO!$Y$22*CUSTOS!$T$3</f>
        <v>137.0754</v>
      </c>
      <c r="Z22" s="13">
        <f>TRANSICAO!$Z$22*CUSTOS!$T$3</f>
        <v>0</v>
      </c>
      <c r="AA22" s="13">
        <f>TRANSICAO!$AA$22*CUSTOS!$T$3</f>
        <v>0</v>
      </c>
      <c r="AB22" s="13">
        <f>TRANSICAO!$AB$22*CUSTOS!$T$3</f>
        <v>0</v>
      </c>
      <c r="AC22" s="13">
        <f>TRANSICAO!$AC$22*CUSTOS!$T$3</f>
        <v>445.28059999999999</v>
      </c>
      <c r="AD22" s="13">
        <f>TRANSICAO!$AD$22*CUSTOS!$T$3</f>
        <v>0</v>
      </c>
      <c r="AE22" s="13">
        <v>0</v>
      </c>
      <c r="AF22" s="13">
        <v>0</v>
      </c>
      <c r="AG22" s="13"/>
      <c r="AH22" s="13">
        <f>(1 - CUSTOS!$M$25)*18.1524</f>
        <v>18.1524</v>
      </c>
      <c r="AI22" s="13">
        <v>0</v>
      </c>
      <c r="AJ22" s="13">
        <f ca="1">$N$64*(1-CUSTOS!$M$25)</f>
        <v>0</v>
      </c>
      <c r="AK22" s="13">
        <f t="shared" ca="1" si="0"/>
        <v>0</v>
      </c>
      <c r="AL22" s="13"/>
      <c r="AM22" s="13"/>
      <c r="AP22" s="13">
        <f>IF((1 - CUSTOS!$M$25)&lt;&gt;0,1/(1 - CUSTOS!$M$25),1)</f>
        <v>1</v>
      </c>
    </row>
    <row r="23" spans="1:42" ht="11.25" customHeight="1" x14ac:dyDescent="0.25">
      <c r="A23" s="103"/>
      <c r="B23" s="103"/>
      <c r="C23" s="103"/>
      <c r="D23" s="23" t="s">
        <v>39</v>
      </c>
      <c r="E23" s="23" t="s">
        <v>25</v>
      </c>
      <c r="F23" s="23" t="s">
        <v>25</v>
      </c>
      <c r="G23" s="24" t="s">
        <v>67</v>
      </c>
      <c r="H23" s="24" t="s">
        <v>60</v>
      </c>
      <c r="I23" s="24">
        <f>'MERCADO TUSD'!$U$20</f>
        <v>77.287999999999997</v>
      </c>
      <c r="J23" s="15"/>
      <c r="L23" s="13">
        <v>0</v>
      </c>
      <c r="M2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2.2830958348558199</v>
      </c>
      <c r="N23" s="13">
        <f ca="1">(+M23+O23+R23+U23+V23+W23+X23+Y23+Z23+AA23+AC23+AH23+AI23+AJ23+AK23)*CUSTOS!$M$5</f>
        <v>6.0379149583485579E-12</v>
      </c>
      <c r="O23" s="13">
        <f>1 - CUSTOS!$M$26</f>
        <v>1</v>
      </c>
      <c r="P23" s="13">
        <v>0</v>
      </c>
      <c r="Q23" s="13">
        <v>0</v>
      </c>
      <c r="R23" s="13">
        <v>0</v>
      </c>
      <c r="S23" s="13">
        <f>1 - CUSTOS!$M$26</f>
        <v>1</v>
      </c>
      <c r="T23" s="13"/>
      <c r="U23" s="13">
        <f>TRANSICAO!$U$23*CUSTOS!$T$3</f>
        <v>0</v>
      </c>
      <c r="V23" s="13">
        <f>TRANSICAO!$V$23*CUSTOS!$T$3</f>
        <v>0</v>
      </c>
      <c r="W23" s="13">
        <f>TRANSICAO!$W$23*CUSTOS!$T$3</f>
        <v>0</v>
      </c>
      <c r="X23" s="13">
        <f>TRANSICAO!$X$23*CUSTOS!$T$3</f>
        <v>0</v>
      </c>
      <c r="Y23" s="13">
        <f>TRANSICAO!$Y$23*CUSTOS!$T$3</f>
        <v>137.0754</v>
      </c>
      <c r="Z23" s="13">
        <f>TRANSICAO!$Z$23*CUSTOS!$T$3</f>
        <v>0</v>
      </c>
      <c r="AA23" s="13">
        <f>TRANSICAO!$AA$23*CUSTOS!$T$3</f>
        <v>0</v>
      </c>
      <c r="AB23" s="13">
        <f>TRANSICAO!$AB$23*CUSTOS!$T$3</f>
        <v>0</v>
      </c>
      <c r="AC23" s="13">
        <f>TRANSICAO!$AC$23*CUSTOS!$T$3</f>
        <v>445.28059999999999</v>
      </c>
      <c r="AD23" s="13">
        <f>TRANSICAO!$AD$23*CUSTOS!$T$3</f>
        <v>0</v>
      </c>
      <c r="AE23" s="13">
        <v>0</v>
      </c>
      <c r="AF23" s="13">
        <v>0</v>
      </c>
      <c r="AG23" s="13"/>
      <c r="AH23" s="13">
        <f>(1 - CUSTOS!$M$26)*18.1524</f>
        <v>18.1524</v>
      </c>
      <c r="AI23" s="13">
        <v>0</v>
      </c>
      <c r="AJ23" s="13">
        <f ca="1">$N$64*(1-CUSTOS!$M$26)</f>
        <v>0</v>
      </c>
      <c r="AK23" s="13">
        <f t="shared" ca="1" si="0"/>
        <v>0</v>
      </c>
      <c r="AL23" s="13"/>
      <c r="AM23" s="13"/>
      <c r="AP23" s="13">
        <f>IF((1 - CUSTOS!$M$26)&lt;&gt;0,1/(1 - CUSTOS!$M$26),1)</f>
        <v>1</v>
      </c>
    </row>
    <row r="24" spans="1:42" ht="11.25" customHeight="1" x14ac:dyDescent="0.25">
      <c r="A24" s="103"/>
      <c r="B24" s="103"/>
      <c r="C24" s="103"/>
      <c r="D24" s="23" t="s">
        <v>40</v>
      </c>
      <c r="E24" s="23" t="s">
        <v>25</v>
      </c>
      <c r="F24" s="23" t="s">
        <v>25</v>
      </c>
      <c r="G24" s="24" t="s">
        <v>67</v>
      </c>
      <c r="H24" s="24" t="s">
        <v>60</v>
      </c>
      <c r="I24" s="24">
        <f>'MERCADO TUSD'!$U$21</f>
        <v>81.510999999999996</v>
      </c>
      <c r="J24" s="15"/>
      <c r="L24" s="13">
        <v>0</v>
      </c>
      <c r="M2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2.2830958348558199</v>
      </c>
      <c r="N24" s="13">
        <f ca="1">(+M24+O24+R24+U24+V24+W24+X24+Y24+Z24+AA24+AC24+AH24+AI24+AJ24+AK24)*CUSTOS!$M$5</f>
        <v>6.0379149583485579E-12</v>
      </c>
      <c r="O24" s="13">
        <f>1 - CUSTOS!$M$27</f>
        <v>1</v>
      </c>
      <c r="P24" s="13">
        <v>0</v>
      </c>
      <c r="Q24" s="13">
        <v>0</v>
      </c>
      <c r="R24" s="13">
        <v>0</v>
      </c>
      <c r="S24" s="13">
        <f>1 - CUSTOS!$M$27</f>
        <v>1</v>
      </c>
      <c r="T24" s="13"/>
      <c r="U24" s="13">
        <f>TRANSICAO!$U$24*CUSTOS!$T$3</f>
        <v>0</v>
      </c>
      <c r="V24" s="13">
        <f>TRANSICAO!$V$24*CUSTOS!$T$3</f>
        <v>0</v>
      </c>
      <c r="W24" s="13">
        <f>TRANSICAO!$W$24*CUSTOS!$T$3</f>
        <v>0</v>
      </c>
      <c r="X24" s="13">
        <f>TRANSICAO!$X$24*CUSTOS!$T$3</f>
        <v>0</v>
      </c>
      <c r="Y24" s="13">
        <f>TRANSICAO!$Y$24*CUSTOS!$T$3</f>
        <v>137.0754</v>
      </c>
      <c r="Z24" s="13">
        <f>TRANSICAO!$Z$24*CUSTOS!$T$3</f>
        <v>0</v>
      </c>
      <c r="AA24" s="13">
        <f>TRANSICAO!$AA$24*CUSTOS!$T$3</f>
        <v>0</v>
      </c>
      <c r="AB24" s="13">
        <f>TRANSICAO!$AB$24*CUSTOS!$T$3</f>
        <v>0</v>
      </c>
      <c r="AC24" s="13">
        <f>TRANSICAO!$AC$24*CUSTOS!$T$3</f>
        <v>445.28059999999999</v>
      </c>
      <c r="AD24" s="13">
        <f>TRANSICAO!$AD$24*CUSTOS!$T$3</f>
        <v>0</v>
      </c>
      <c r="AE24" s="13">
        <v>0</v>
      </c>
      <c r="AF24" s="13">
        <v>0</v>
      </c>
      <c r="AG24" s="13"/>
      <c r="AH24" s="13">
        <f>(1 - CUSTOS!$M$27)*18.1524</f>
        <v>18.1524</v>
      </c>
      <c r="AI24" s="13">
        <v>0</v>
      </c>
      <c r="AJ24" s="13">
        <f ca="1">$N$64*(1-CUSTOS!$M$27)</f>
        <v>0</v>
      </c>
      <c r="AK24" s="13">
        <f t="shared" ca="1" si="0"/>
        <v>0</v>
      </c>
      <c r="AL24" s="13"/>
      <c r="AM24" s="13"/>
      <c r="AP24" s="13">
        <f>IF((1 - CUSTOS!$M$27)&lt;&gt;0,1/(1 - CUSTOS!$M$27),1)</f>
        <v>1</v>
      </c>
    </row>
    <row r="25" spans="1:42" ht="11.25" customHeight="1" x14ac:dyDescent="0.25">
      <c r="A25" s="103"/>
      <c r="B25" s="103" t="s">
        <v>78</v>
      </c>
      <c r="C25" s="103" t="s">
        <v>24</v>
      </c>
      <c r="D25" s="23" t="s">
        <v>24</v>
      </c>
      <c r="E25" s="23" t="s">
        <v>25</v>
      </c>
      <c r="F25" s="23" t="s">
        <v>25</v>
      </c>
      <c r="G25" s="24" t="s">
        <v>67</v>
      </c>
      <c r="H25" s="24" t="s">
        <v>60</v>
      </c>
      <c r="I25" s="24">
        <f>'MERCADO TUSD'!$U$22</f>
        <v>0</v>
      </c>
      <c r="J25" s="15"/>
      <c r="L25" s="13">
        <f>1</f>
        <v>1</v>
      </c>
      <c r="M2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2.2830958348558199</v>
      </c>
      <c r="N25" s="13">
        <f ca="1">(+M25+O25+R25+U25+V25+W25+X25+Y25+Z25+AA25+AC25+AH25+AI25+AJ25+AK25)*CUSTOS!$M$5</f>
        <v>6.0479149583485581E-12</v>
      </c>
      <c r="O25" s="13">
        <v>1</v>
      </c>
      <c r="P25" s="13">
        <v>1</v>
      </c>
      <c r="Q25" s="13">
        <f>1</f>
        <v>1</v>
      </c>
      <c r="R25" s="13">
        <v>1</v>
      </c>
      <c r="S25" s="13">
        <v>1</v>
      </c>
      <c r="T25" s="13"/>
      <c r="U25" s="13">
        <f>TRANSICAO!$U$25*CUSTOS!$T$3</f>
        <v>0</v>
      </c>
      <c r="V25" s="13">
        <f>TRANSICAO!$V$25*CUSTOS!$T$3</f>
        <v>0</v>
      </c>
      <c r="W25" s="13">
        <f>TRANSICAO!$W$25*CUSTOS!$T$3</f>
        <v>0</v>
      </c>
      <c r="X25" s="13">
        <f>TRANSICAO!$X$25*CUSTOS!$T$3</f>
        <v>0</v>
      </c>
      <c r="Y25" s="13">
        <f>TRANSICAO!$Y$25*CUSTOS!$T$3</f>
        <v>137.0754</v>
      </c>
      <c r="Z25" s="13">
        <f>TRANSICAO!$Z$25*CUSTOS!$T$3</f>
        <v>0</v>
      </c>
      <c r="AA25" s="13">
        <f>TRANSICAO!$AA$25*CUSTOS!$T$3</f>
        <v>0</v>
      </c>
      <c r="AB25" s="13">
        <f>TRANSICAO!$AB$25*CUSTOS!$T$3</f>
        <v>0</v>
      </c>
      <c r="AC25" s="13">
        <f>TRANSICAO!$AC$25*CUSTOS!$T$3</f>
        <v>445.28059999999999</v>
      </c>
      <c r="AD25" s="13">
        <f>TRANSICAO!$AD$25*CUSTOS!$T$3</f>
        <v>0</v>
      </c>
      <c r="AE25" s="13">
        <v>0</v>
      </c>
      <c r="AF25" s="13">
        <v>0</v>
      </c>
      <c r="AG25" s="13"/>
      <c r="AH25" s="13">
        <v>18.1524</v>
      </c>
      <c r="AI25" s="13">
        <v>0</v>
      </c>
      <c r="AJ25" s="13">
        <f ca="1">$N$64</f>
        <v>0</v>
      </c>
      <c r="AK25" s="13">
        <f t="shared" ca="1" si="0"/>
        <v>0</v>
      </c>
      <c r="AL25" s="13"/>
      <c r="AM25" s="13"/>
      <c r="AP25" s="13">
        <v>1</v>
      </c>
    </row>
    <row r="26" spans="1:42" ht="11.25" customHeight="1" x14ac:dyDescent="0.25">
      <c r="A26" s="103"/>
      <c r="B26" s="103"/>
      <c r="C26" s="103"/>
      <c r="D26" s="23" t="s">
        <v>41</v>
      </c>
      <c r="E26" s="23" t="s">
        <v>25</v>
      </c>
      <c r="F26" s="23" t="s">
        <v>25</v>
      </c>
      <c r="G26" s="24" t="s">
        <v>67</v>
      </c>
      <c r="H26" s="24" t="s">
        <v>60</v>
      </c>
      <c r="I26" s="24">
        <f>'MERCADO TUSD'!$U$23</f>
        <v>0</v>
      </c>
      <c r="J26" s="15"/>
      <c r="L26" s="13">
        <v>0</v>
      </c>
      <c r="M2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2.2830958348558199</v>
      </c>
      <c r="N26" s="13">
        <f ca="1">(+M26+O26+R26+U26+V26+W26+X26+Y26+Z26+AA26+AC26+AH26+AI26+AJ26+AK26)*CUSTOS!$M$5</f>
        <v>6.0379149583485579E-12</v>
      </c>
      <c r="O26" s="13">
        <f>1 - CUSTOS!$M$24</f>
        <v>1</v>
      </c>
      <c r="P26" s="13">
        <v>0</v>
      </c>
      <c r="Q26" s="13">
        <v>0</v>
      </c>
      <c r="R26" s="13">
        <v>0</v>
      </c>
      <c r="S26" s="13">
        <f>1 - CUSTOS!$M$24</f>
        <v>1</v>
      </c>
      <c r="T26" s="13"/>
      <c r="U26" s="13">
        <f>TRANSICAO!$U$26*CUSTOS!$T$3</f>
        <v>0</v>
      </c>
      <c r="V26" s="13">
        <f>TRANSICAO!$V$26*CUSTOS!$T$3</f>
        <v>0</v>
      </c>
      <c r="W26" s="13">
        <f>TRANSICAO!$W$26*CUSTOS!$T$3</f>
        <v>0</v>
      </c>
      <c r="X26" s="13">
        <f>TRANSICAO!$X$26*CUSTOS!$T$3</f>
        <v>0</v>
      </c>
      <c r="Y26" s="13">
        <f>TRANSICAO!$Y$26*CUSTOS!$T$3</f>
        <v>137.0754</v>
      </c>
      <c r="Z26" s="13">
        <f>TRANSICAO!$Z$26*CUSTOS!$T$3</f>
        <v>0</v>
      </c>
      <c r="AA26" s="13">
        <f>TRANSICAO!$AA$26*CUSTOS!$T$3</f>
        <v>0</v>
      </c>
      <c r="AB26" s="13">
        <f>TRANSICAO!$AB$26*CUSTOS!$T$3</f>
        <v>0</v>
      </c>
      <c r="AC26" s="13">
        <f>TRANSICAO!$AC$26*CUSTOS!$T$3</f>
        <v>445.28059999999999</v>
      </c>
      <c r="AD26" s="13">
        <f>TRANSICAO!$AD$26*CUSTOS!$T$3</f>
        <v>0</v>
      </c>
      <c r="AE26" s="13">
        <v>0</v>
      </c>
      <c r="AF26" s="13">
        <v>0</v>
      </c>
      <c r="AG26" s="13"/>
      <c r="AH26" s="13">
        <f>(1 - CUSTOS!$M$24)*18.1524</f>
        <v>18.1524</v>
      </c>
      <c r="AI26" s="13">
        <v>0</v>
      </c>
      <c r="AJ26" s="13">
        <f ca="1">$N$64*(1-CUSTOS!$M$24)</f>
        <v>0</v>
      </c>
      <c r="AK26" s="13">
        <f t="shared" ca="1" si="0"/>
        <v>0</v>
      </c>
      <c r="AL26" s="13"/>
      <c r="AM26" s="13"/>
      <c r="AP26" s="13">
        <f>IF((1 - CUSTOS!$M$24)&lt;&gt;0,1/(1 - CUSTOS!$M$24),1)</f>
        <v>1</v>
      </c>
    </row>
    <row r="27" spans="1:42" ht="11.25" customHeight="1" x14ac:dyDescent="0.25">
      <c r="A27" s="103"/>
      <c r="B27" s="103"/>
      <c r="C27" s="103"/>
      <c r="D27" s="23" t="s">
        <v>42</v>
      </c>
      <c r="E27" s="23" t="s">
        <v>25</v>
      </c>
      <c r="F27" s="23" t="s">
        <v>25</v>
      </c>
      <c r="G27" s="24" t="s">
        <v>67</v>
      </c>
      <c r="H27" s="24" t="s">
        <v>60</v>
      </c>
      <c r="I27" s="24">
        <f>'MERCADO TUSD'!$U$24</f>
        <v>0</v>
      </c>
      <c r="J27" s="15"/>
      <c r="L27" s="13">
        <v>0</v>
      </c>
      <c r="M2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2.2830958348558199</v>
      </c>
      <c r="N27" s="13">
        <f ca="1">(+M27+O27+R27+U27+V27+W27+X27+Y27+Z27+AA27+AC27+AH27+AI27+AJ27+AK27)*CUSTOS!$M$5</f>
        <v>6.0379149583485579E-12</v>
      </c>
      <c r="O27" s="13">
        <f>1 - CUSTOS!$M$25</f>
        <v>1</v>
      </c>
      <c r="P27" s="13">
        <v>0</v>
      </c>
      <c r="Q27" s="13">
        <v>0</v>
      </c>
      <c r="R27" s="13">
        <v>0</v>
      </c>
      <c r="S27" s="13">
        <f>1 - CUSTOS!$M$25</f>
        <v>1</v>
      </c>
      <c r="T27" s="13"/>
      <c r="U27" s="13">
        <f>TRANSICAO!$U$27*CUSTOS!$T$3</f>
        <v>0</v>
      </c>
      <c r="V27" s="13">
        <f>TRANSICAO!$V$27*CUSTOS!$T$3</f>
        <v>0</v>
      </c>
      <c r="W27" s="13">
        <f>TRANSICAO!$W$27*CUSTOS!$T$3</f>
        <v>0</v>
      </c>
      <c r="X27" s="13">
        <f>TRANSICAO!$X$27*CUSTOS!$T$3</f>
        <v>0</v>
      </c>
      <c r="Y27" s="13">
        <f>TRANSICAO!$Y$27*CUSTOS!$T$3</f>
        <v>137.0754</v>
      </c>
      <c r="Z27" s="13">
        <f>TRANSICAO!$Z$27*CUSTOS!$T$3</f>
        <v>0</v>
      </c>
      <c r="AA27" s="13">
        <f>TRANSICAO!$AA$27*CUSTOS!$T$3</f>
        <v>0</v>
      </c>
      <c r="AB27" s="13">
        <f>TRANSICAO!$AB$27*CUSTOS!$T$3</f>
        <v>0</v>
      </c>
      <c r="AC27" s="13">
        <f>TRANSICAO!$AC$27*CUSTOS!$T$3</f>
        <v>445.28059999999999</v>
      </c>
      <c r="AD27" s="13">
        <f>TRANSICAO!$AD$27*CUSTOS!$T$3</f>
        <v>0</v>
      </c>
      <c r="AE27" s="13">
        <v>0</v>
      </c>
      <c r="AF27" s="13">
        <v>0</v>
      </c>
      <c r="AG27" s="13"/>
      <c r="AH27" s="13">
        <f>(1 - CUSTOS!$M$25)*18.1524</f>
        <v>18.1524</v>
      </c>
      <c r="AI27" s="13">
        <v>0</v>
      </c>
      <c r="AJ27" s="13">
        <f ca="1">$N$64*(1-CUSTOS!$M$25)</f>
        <v>0</v>
      </c>
      <c r="AK27" s="13">
        <f t="shared" ca="1" si="0"/>
        <v>0</v>
      </c>
      <c r="AL27" s="13"/>
      <c r="AM27" s="13"/>
      <c r="AP27" s="13">
        <f>IF((1 - CUSTOS!$M$25)&lt;&gt;0,1/(1 - CUSTOS!$M$25),1)</f>
        <v>1</v>
      </c>
    </row>
    <row r="28" spans="1:42" ht="11.25" customHeight="1" x14ac:dyDescent="0.25">
      <c r="A28" s="103"/>
      <c r="B28" s="103"/>
      <c r="C28" s="103"/>
      <c r="D28" s="23" t="s">
        <v>39</v>
      </c>
      <c r="E28" s="23" t="s">
        <v>25</v>
      </c>
      <c r="F28" s="23" t="s">
        <v>25</v>
      </c>
      <c r="G28" s="24" t="s">
        <v>67</v>
      </c>
      <c r="H28" s="24" t="s">
        <v>60</v>
      </c>
      <c r="I28" s="24">
        <f>'MERCADO TUSD'!$U$25</f>
        <v>0</v>
      </c>
      <c r="J28" s="15"/>
      <c r="L28" s="13">
        <v>0</v>
      </c>
      <c r="M2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2.2830958348558199</v>
      </c>
      <c r="N28" s="13">
        <f ca="1">(+M28+O28+R28+U28+V28+W28+X28+Y28+Z28+AA28+AC28+AH28+AI28+AJ28+AK28)*CUSTOS!$M$5</f>
        <v>6.0379149583485579E-12</v>
      </c>
      <c r="O28" s="13">
        <f>1 - CUSTOS!$M$26</f>
        <v>1</v>
      </c>
      <c r="P28" s="13">
        <v>0</v>
      </c>
      <c r="Q28" s="13">
        <v>0</v>
      </c>
      <c r="R28" s="13">
        <v>0</v>
      </c>
      <c r="S28" s="13">
        <f>1 - CUSTOS!$M$26</f>
        <v>1</v>
      </c>
      <c r="T28" s="13"/>
      <c r="U28" s="13">
        <f>TRANSICAO!$U$28*CUSTOS!$T$3</f>
        <v>0</v>
      </c>
      <c r="V28" s="13">
        <f>TRANSICAO!$V$28*CUSTOS!$T$3</f>
        <v>0</v>
      </c>
      <c r="W28" s="13">
        <f>TRANSICAO!$W$28*CUSTOS!$T$3</f>
        <v>0</v>
      </c>
      <c r="X28" s="13">
        <f>TRANSICAO!$X$28*CUSTOS!$T$3</f>
        <v>0</v>
      </c>
      <c r="Y28" s="13">
        <f>TRANSICAO!$Y$28*CUSTOS!$T$3</f>
        <v>137.0754</v>
      </c>
      <c r="Z28" s="13">
        <f>TRANSICAO!$Z$28*CUSTOS!$T$3</f>
        <v>0</v>
      </c>
      <c r="AA28" s="13">
        <f>TRANSICAO!$AA$28*CUSTOS!$T$3</f>
        <v>0</v>
      </c>
      <c r="AB28" s="13">
        <f>TRANSICAO!$AB$28*CUSTOS!$T$3</f>
        <v>0</v>
      </c>
      <c r="AC28" s="13">
        <f>TRANSICAO!$AC$28*CUSTOS!$T$3</f>
        <v>445.28059999999999</v>
      </c>
      <c r="AD28" s="13">
        <f>TRANSICAO!$AD$28*CUSTOS!$T$3</f>
        <v>0</v>
      </c>
      <c r="AE28" s="13">
        <v>0</v>
      </c>
      <c r="AF28" s="13">
        <v>0</v>
      </c>
      <c r="AG28" s="13"/>
      <c r="AH28" s="13">
        <f>(1 - CUSTOS!$M$26)*18.1524</f>
        <v>18.1524</v>
      </c>
      <c r="AI28" s="13">
        <v>0</v>
      </c>
      <c r="AJ28" s="13">
        <f ca="1">$N$64*(1-CUSTOS!$M$26)</f>
        <v>0</v>
      </c>
      <c r="AK28" s="13">
        <f t="shared" ca="1" si="0"/>
        <v>0</v>
      </c>
      <c r="AL28" s="13"/>
      <c r="AM28" s="13"/>
      <c r="AP28" s="13">
        <f>IF((1 - CUSTOS!$M$26)&lt;&gt;0,1/(1 - CUSTOS!$M$26),1)</f>
        <v>1</v>
      </c>
    </row>
    <row r="29" spans="1:42" ht="11.25" customHeight="1" x14ac:dyDescent="0.25">
      <c r="A29" s="103"/>
      <c r="B29" s="103"/>
      <c r="C29" s="103"/>
      <c r="D29" s="23" t="s">
        <v>40</v>
      </c>
      <c r="E29" s="23" t="s">
        <v>25</v>
      </c>
      <c r="F29" s="23" t="s">
        <v>25</v>
      </c>
      <c r="G29" s="24" t="s">
        <v>67</v>
      </c>
      <c r="H29" s="24" t="s">
        <v>60</v>
      </c>
      <c r="I29" s="24">
        <f>'MERCADO TUSD'!$U$26</f>
        <v>0</v>
      </c>
      <c r="J29" s="15"/>
      <c r="L29" s="13">
        <v>0</v>
      </c>
      <c r="M2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2.2830958348558199</v>
      </c>
      <c r="N29" s="13">
        <f ca="1">(+M29+O29+R29+U29+V29+W29+X29+Y29+Z29+AA29+AC29+AH29+AI29+AJ29+AK29)*CUSTOS!$M$5</f>
        <v>6.0379149583485579E-12</v>
      </c>
      <c r="O29" s="13">
        <f>1 - CUSTOS!$M$27</f>
        <v>1</v>
      </c>
      <c r="P29" s="13">
        <v>0</v>
      </c>
      <c r="Q29" s="13">
        <v>0</v>
      </c>
      <c r="R29" s="13">
        <v>0</v>
      </c>
      <c r="S29" s="13">
        <f>1 - CUSTOS!$M$27</f>
        <v>1</v>
      </c>
      <c r="T29" s="13"/>
      <c r="U29" s="13">
        <f>TRANSICAO!$U$29*CUSTOS!$T$3</f>
        <v>0</v>
      </c>
      <c r="V29" s="13">
        <f>TRANSICAO!$V$29*CUSTOS!$T$3</f>
        <v>0</v>
      </c>
      <c r="W29" s="13">
        <f>TRANSICAO!$W$29*CUSTOS!$T$3</f>
        <v>0</v>
      </c>
      <c r="X29" s="13">
        <f>TRANSICAO!$X$29*CUSTOS!$T$3</f>
        <v>0</v>
      </c>
      <c r="Y29" s="13">
        <f>TRANSICAO!$Y$29*CUSTOS!$T$3</f>
        <v>137.0754</v>
      </c>
      <c r="Z29" s="13">
        <f>TRANSICAO!$Z$29*CUSTOS!$T$3</f>
        <v>0</v>
      </c>
      <c r="AA29" s="13">
        <f>TRANSICAO!$AA$29*CUSTOS!$T$3</f>
        <v>0</v>
      </c>
      <c r="AB29" s="13">
        <f>TRANSICAO!$AB$29*CUSTOS!$T$3</f>
        <v>0</v>
      </c>
      <c r="AC29" s="13">
        <f>TRANSICAO!$AC$29*CUSTOS!$T$3</f>
        <v>445.28059999999999</v>
      </c>
      <c r="AD29" s="13">
        <f>TRANSICAO!$AD$29*CUSTOS!$T$3</f>
        <v>0</v>
      </c>
      <c r="AE29" s="13">
        <v>0</v>
      </c>
      <c r="AF29" s="13">
        <v>0</v>
      </c>
      <c r="AG29" s="13"/>
      <c r="AH29" s="13">
        <f>(1 - CUSTOS!$M$27)*18.1524</f>
        <v>18.1524</v>
      </c>
      <c r="AI29" s="13">
        <v>0</v>
      </c>
      <c r="AJ29" s="13">
        <f ca="1">$N$64*(1-CUSTOS!$M$27)</f>
        <v>0</v>
      </c>
      <c r="AK29" s="13">
        <f t="shared" ca="1" si="0"/>
        <v>0</v>
      </c>
      <c r="AL29" s="13"/>
      <c r="AM29" s="13"/>
      <c r="AP29" s="13">
        <f>IF((1 - CUSTOS!$M$27)&lt;&gt;0,1/(1 - CUSTOS!$M$27),1)</f>
        <v>1</v>
      </c>
    </row>
    <row r="30" spans="1:42" ht="11.25" customHeight="1" x14ac:dyDescent="0.25">
      <c r="A30" s="103" t="s">
        <v>31</v>
      </c>
      <c r="B30" s="103" t="s">
        <v>76</v>
      </c>
      <c r="C30" s="103" t="s">
        <v>32</v>
      </c>
      <c r="D30" s="103" t="s">
        <v>25</v>
      </c>
      <c r="E30" s="103" t="s">
        <v>25</v>
      </c>
      <c r="F30" s="103" t="s">
        <v>25</v>
      </c>
      <c r="G30" s="24" t="s">
        <v>61</v>
      </c>
      <c r="H30" s="24" t="s">
        <v>60</v>
      </c>
      <c r="I30" s="24">
        <f>'MERCADO TUSD'!$U$27</f>
        <v>0</v>
      </c>
      <c r="J30" s="15"/>
      <c r="L30" s="13">
        <f>1*(1 - CUSTOS!$M$28)</f>
        <v>1</v>
      </c>
      <c r="M3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2.2830958348558199</v>
      </c>
      <c r="N30" s="13">
        <f ca="1">(+M30+O30+R30+U30+V30+W30+X30+Y30+Z30+AA30+AC30+AH30+AI30+AJ30+AK30)*CUSTOS!$M$5</f>
        <v>1.7404024958348561E-11</v>
      </c>
      <c r="O30" s="13">
        <f>1 - CUSTOS!$M$28</f>
        <v>1</v>
      </c>
      <c r="P30" s="13">
        <f>1 - CUSTOS!$M$28</f>
        <v>1</v>
      </c>
      <c r="Q30" s="13">
        <f>1*(1 - CUSTOS!$M$28)</f>
        <v>1</v>
      </c>
      <c r="R30" s="13">
        <f>1 - CUSTOS!$M$28</f>
        <v>1</v>
      </c>
      <c r="S30" s="13">
        <f>1 - CUSTOS!$M$28</f>
        <v>1</v>
      </c>
      <c r="T30" s="13"/>
      <c r="U30" s="13">
        <f>TRANSICAO!$U$30*CUSTOS!$T$3</f>
        <v>0</v>
      </c>
      <c r="V30" s="13">
        <f>TRANSICAO!$V$30*CUSTOS!$T$3</f>
        <v>0</v>
      </c>
      <c r="W30" s="13">
        <f>TRANSICAO!$W$30*CUSTOS!$T$3</f>
        <v>0</v>
      </c>
      <c r="X30" s="13">
        <f>TRANSICAO!$X$30*CUSTOS!$T$3</f>
        <v>0</v>
      </c>
      <c r="Y30" s="13">
        <f>TRANSICAO!$Y$30*CUSTOS!$T$3</f>
        <v>404.38920000000002</v>
      </c>
      <c r="Z30" s="13">
        <f>TRANSICAO!$Z$30*CUSTOS!$T$3</f>
        <v>0</v>
      </c>
      <c r="AA30" s="13">
        <f>TRANSICAO!$AA$30*CUSTOS!$T$3</f>
        <v>0</v>
      </c>
      <c r="AB30" s="13">
        <f>TRANSICAO!$AB$30*CUSTOS!$T$3</f>
        <v>0</v>
      </c>
      <c r="AC30" s="13">
        <f>TRANSICAO!$AC$30*CUSTOS!$T$3</f>
        <v>1313.5778</v>
      </c>
      <c r="AD30" s="13">
        <f>TRANSICAO!$AD$30*CUSTOS!$T$3</f>
        <v>0</v>
      </c>
      <c r="AE30" s="13">
        <v>0</v>
      </c>
      <c r="AF30" s="13">
        <v>0</v>
      </c>
      <c r="AG30" s="13"/>
      <c r="AH30" s="13">
        <f>(1 - CUSTOS!$M$28)*18.1524</f>
        <v>18.1524</v>
      </c>
      <c r="AI30" s="13">
        <v>0</v>
      </c>
      <c r="AJ30" s="13">
        <f ca="1">$N$64*(1-CUSTOS!$M$28)</f>
        <v>0</v>
      </c>
      <c r="AK30" s="13">
        <f t="shared" ca="1" si="0"/>
        <v>0</v>
      </c>
      <c r="AL30" s="13"/>
      <c r="AM30" s="13"/>
      <c r="AP30" s="13">
        <f>IF((1 - CUSTOS!$M$28)&lt;&gt;0,1/(1 - CUSTOS!$M$28),1)</f>
        <v>1</v>
      </c>
    </row>
    <row r="31" spans="1:42" ht="11.25" customHeight="1" x14ac:dyDescent="0.25">
      <c r="A31" s="103"/>
      <c r="B31" s="103"/>
      <c r="C31" s="103"/>
      <c r="D31" s="103"/>
      <c r="E31" s="103"/>
      <c r="F31" s="103"/>
      <c r="G31" s="24" t="s">
        <v>74</v>
      </c>
      <c r="H31" s="24" t="s">
        <v>60</v>
      </c>
      <c r="I31" s="24">
        <f>'MERCADO TUSD'!$U$28</f>
        <v>0</v>
      </c>
      <c r="J31" s="15"/>
      <c r="L31" s="13">
        <f>1*(1 - CUSTOS!$M$28)</f>
        <v>1</v>
      </c>
      <c r="M3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2.2830958348558199</v>
      </c>
      <c r="N31" s="13">
        <f ca="1">(+M31+O31+R31+U31+V31+W31+X31+Y31+Z31+AA31+AC31+AH31+AI31+AJ31+AK31)*CUSTOS!$M$5</f>
        <v>1.0531883958348558E-11</v>
      </c>
      <c r="O31" s="13">
        <f>1 - CUSTOS!$M$28</f>
        <v>1</v>
      </c>
      <c r="P31" s="13">
        <f>1 - CUSTOS!$M$28</f>
        <v>1</v>
      </c>
      <c r="Q31" s="13">
        <f>1*(1 - CUSTOS!$M$28)</f>
        <v>1</v>
      </c>
      <c r="R31" s="13">
        <f>1 - CUSTOS!$M$28</f>
        <v>1</v>
      </c>
      <c r="S31" s="13">
        <f>1 - CUSTOS!$M$28</f>
        <v>1</v>
      </c>
      <c r="T31" s="13"/>
      <c r="U31" s="13">
        <f>TRANSICAO!$U$31*CUSTOS!$T$3</f>
        <v>0</v>
      </c>
      <c r="V31" s="13">
        <f>TRANSICAO!$V$31*CUSTOS!$T$3</f>
        <v>0</v>
      </c>
      <c r="W31" s="13">
        <f>TRANSICAO!$W$31*CUSTOS!$T$3</f>
        <v>0</v>
      </c>
      <c r="X31" s="13">
        <f>TRANSICAO!$X$31*CUSTOS!$T$3</f>
        <v>0</v>
      </c>
      <c r="Y31" s="13">
        <f>TRANSICAO!$Y$31*CUSTOS!$T$3</f>
        <v>242.60650000000001</v>
      </c>
      <c r="Z31" s="13">
        <f>TRANSICAO!$Z$31*CUSTOS!$T$3</f>
        <v>0</v>
      </c>
      <c r="AA31" s="13">
        <f>TRANSICAO!$AA$31*CUSTOS!$T$3</f>
        <v>0</v>
      </c>
      <c r="AB31" s="13">
        <f>TRANSICAO!$AB$31*CUSTOS!$T$3</f>
        <v>0</v>
      </c>
      <c r="AC31" s="13">
        <f>TRANSICAO!$AC$31*CUSTOS!$T$3</f>
        <v>788.14639999999997</v>
      </c>
      <c r="AD31" s="13">
        <f>TRANSICAO!$AD$31*CUSTOS!$T$3</f>
        <v>0</v>
      </c>
      <c r="AE31" s="13">
        <v>0</v>
      </c>
      <c r="AF31" s="13">
        <v>0</v>
      </c>
      <c r="AG31" s="13"/>
      <c r="AH31" s="13">
        <f>(1 - CUSTOS!$M$28)*18.1524</f>
        <v>18.1524</v>
      </c>
      <c r="AI31" s="13">
        <v>0</v>
      </c>
      <c r="AJ31" s="13">
        <f ca="1">$N$64*(1-CUSTOS!$M$28)</f>
        <v>0</v>
      </c>
      <c r="AK31" s="13">
        <f t="shared" ca="1" si="0"/>
        <v>0</v>
      </c>
      <c r="AL31" s="13"/>
      <c r="AM31" s="13"/>
      <c r="AP31" s="13">
        <f>IF((1 - CUSTOS!$M$28)&lt;&gt;0,1/(1 - CUSTOS!$M$28),1)</f>
        <v>1</v>
      </c>
    </row>
    <row r="32" spans="1:42" ht="11.25" customHeight="1" x14ac:dyDescent="0.25">
      <c r="A32" s="103"/>
      <c r="B32" s="103"/>
      <c r="C32" s="103"/>
      <c r="D32" s="103"/>
      <c r="E32" s="103"/>
      <c r="F32" s="103"/>
      <c r="G32" s="24" t="s">
        <v>62</v>
      </c>
      <c r="H32" s="24" t="s">
        <v>60</v>
      </c>
      <c r="I32" s="24">
        <f>'MERCADO TUSD'!$U$29</f>
        <v>0</v>
      </c>
      <c r="J32" s="15"/>
      <c r="L32" s="13">
        <f>1*(1 - CUSTOS!$M$28)</f>
        <v>1</v>
      </c>
      <c r="M3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2.2830958348558199</v>
      </c>
      <c r="N32" s="13">
        <f ca="1">(+M32+O32+R32+U32+V32+W32+X32+Y32+Z32+AA32+AC32+AH32+AI32+AJ32+AK32)*CUSTOS!$M$5</f>
        <v>3.6597469583485581E-12</v>
      </c>
      <c r="O32" s="13">
        <f>1 - CUSTOS!$M$28</f>
        <v>1</v>
      </c>
      <c r="P32" s="13">
        <f>1 - CUSTOS!$M$28</f>
        <v>1</v>
      </c>
      <c r="Q32" s="13">
        <f>1*(1 - CUSTOS!$M$28)</f>
        <v>1</v>
      </c>
      <c r="R32" s="13">
        <f>1 - CUSTOS!$M$28</f>
        <v>1</v>
      </c>
      <c r="S32" s="13">
        <f>1 - CUSTOS!$M$28</f>
        <v>1</v>
      </c>
      <c r="T32" s="13"/>
      <c r="U32" s="13">
        <f>TRANSICAO!$U$32*CUSTOS!$T$3</f>
        <v>0</v>
      </c>
      <c r="V32" s="13">
        <f>TRANSICAO!$V$32*CUSTOS!$T$3</f>
        <v>0</v>
      </c>
      <c r="W32" s="13">
        <f>TRANSICAO!$W$32*CUSTOS!$T$3</f>
        <v>0</v>
      </c>
      <c r="X32" s="13">
        <f>TRANSICAO!$X$32*CUSTOS!$T$3</f>
        <v>0</v>
      </c>
      <c r="Y32" s="13">
        <f>TRANSICAO!$Y$32*CUSTOS!$T$3</f>
        <v>80.823700000000002</v>
      </c>
      <c r="Z32" s="13">
        <f>TRANSICAO!$Z$32*CUSTOS!$T$3</f>
        <v>0</v>
      </c>
      <c r="AA32" s="13">
        <f>TRANSICAO!$AA$32*CUSTOS!$T$3</f>
        <v>0</v>
      </c>
      <c r="AB32" s="13">
        <f>TRANSICAO!$AB$32*CUSTOS!$T$3</f>
        <v>0</v>
      </c>
      <c r="AC32" s="13">
        <f>TRANSICAO!$AC$32*CUSTOS!$T$3</f>
        <v>262.71550000000002</v>
      </c>
      <c r="AD32" s="13">
        <f>TRANSICAO!$AD$32*CUSTOS!$T$3</f>
        <v>0</v>
      </c>
      <c r="AE32" s="13">
        <v>0</v>
      </c>
      <c r="AF32" s="13">
        <v>0</v>
      </c>
      <c r="AG32" s="13"/>
      <c r="AH32" s="13">
        <f>(1 - CUSTOS!$M$28)*18.1524</f>
        <v>18.1524</v>
      </c>
      <c r="AI32" s="13">
        <v>0</v>
      </c>
      <c r="AJ32" s="13">
        <f ca="1">$N$64*(1-CUSTOS!$M$28)</f>
        <v>0</v>
      </c>
      <c r="AK32" s="13">
        <f t="shared" ca="1" si="0"/>
        <v>0</v>
      </c>
      <c r="AL32" s="13"/>
      <c r="AM32" s="13"/>
      <c r="AP32" s="13">
        <f>IF((1 - CUSTOS!$M$28)&lt;&gt;0,1/(1 - CUSTOS!$M$28),1)</f>
        <v>1</v>
      </c>
    </row>
    <row r="33" spans="1:42" ht="11.25" customHeight="1" x14ac:dyDescent="0.25">
      <c r="A33" s="103"/>
      <c r="B33" s="23" t="s">
        <v>23</v>
      </c>
      <c r="C33" s="23" t="s">
        <v>32</v>
      </c>
      <c r="D33" s="23" t="s">
        <v>25</v>
      </c>
      <c r="E33" s="23" t="s">
        <v>25</v>
      </c>
      <c r="F33" s="23" t="s">
        <v>25</v>
      </c>
      <c r="G33" s="24" t="s">
        <v>67</v>
      </c>
      <c r="H33" s="24" t="s">
        <v>60</v>
      </c>
      <c r="I33" s="24">
        <f>'MERCADO TUSD'!$U$30</f>
        <v>6180.567</v>
      </c>
      <c r="J33" s="15"/>
      <c r="L33" s="13">
        <f>1*(1 - CUSTOS!$M$28)</f>
        <v>1</v>
      </c>
      <c r="M3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2.2830958348558199</v>
      </c>
      <c r="N33" s="13">
        <f ca="1">(+M33+O33+R33+U33+V33+W33+X33+Y33+Z33+AA33+AC33+AH33+AI33+AJ33+AK33)*CUSTOS!$M$5</f>
        <v>6.0479149583485581E-12</v>
      </c>
      <c r="O33" s="13">
        <f>1 - CUSTOS!$M$28</f>
        <v>1</v>
      </c>
      <c r="P33" s="13">
        <f>1 - CUSTOS!$M$28</f>
        <v>1</v>
      </c>
      <c r="Q33" s="13">
        <f>1*(1 - CUSTOS!$M$28)</f>
        <v>1</v>
      </c>
      <c r="R33" s="13">
        <f>1 - CUSTOS!$M$28</f>
        <v>1</v>
      </c>
      <c r="S33" s="13">
        <f>1 - CUSTOS!$M$28</f>
        <v>1</v>
      </c>
      <c r="T33" s="13"/>
      <c r="U33" s="13">
        <f>TRANSICAO!$U$33*CUSTOS!$T$3</f>
        <v>0</v>
      </c>
      <c r="V33" s="13">
        <f>TRANSICAO!$V$33*CUSTOS!$T$3</f>
        <v>0</v>
      </c>
      <c r="W33" s="13">
        <f>TRANSICAO!$W$33*CUSTOS!$T$3</f>
        <v>0</v>
      </c>
      <c r="X33" s="13">
        <f>TRANSICAO!$X$33*CUSTOS!$T$3</f>
        <v>0</v>
      </c>
      <c r="Y33" s="13">
        <f>TRANSICAO!$Y$33*CUSTOS!$T$3</f>
        <v>137.0754</v>
      </c>
      <c r="Z33" s="13">
        <f>TRANSICAO!$Z$33*CUSTOS!$T$3</f>
        <v>0</v>
      </c>
      <c r="AA33" s="13">
        <f>TRANSICAO!$AA$33*CUSTOS!$T$3</f>
        <v>0</v>
      </c>
      <c r="AB33" s="13">
        <f>TRANSICAO!$AB$33*CUSTOS!$T$3</f>
        <v>0</v>
      </c>
      <c r="AC33" s="13">
        <f>TRANSICAO!$AC$33*CUSTOS!$T$3</f>
        <v>445.28059999999999</v>
      </c>
      <c r="AD33" s="13">
        <f>TRANSICAO!$AD$33*CUSTOS!$T$3</f>
        <v>0</v>
      </c>
      <c r="AE33" s="13">
        <v>0</v>
      </c>
      <c r="AF33" s="13">
        <v>0</v>
      </c>
      <c r="AG33" s="13"/>
      <c r="AH33" s="13">
        <f>(1 - CUSTOS!$M$28)*18.1524</f>
        <v>18.1524</v>
      </c>
      <c r="AI33" s="13">
        <v>0</v>
      </c>
      <c r="AJ33" s="13">
        <f ca="1">$N$64*(1-CUSTOS!$M$28)</f>
        <v>0</v>
      </c>
      <c r="AK33" s="13">
        <f t="shared" ca="1" si="0"/>
        <v>0</v>
      </c>
      <c r="AL33" s="13"/>
      <c r="AM33" s="13"/>
      <c r="AP33" s="13">
        <f>IF((1 - CUSTOS!$M$28)&lt;&gt;0,1/(1 - CUSTOS!$M$28),1)</f>
        <v>1</v>
      </c>
    </row>
    <row r="34" spans="1:42" ht="11.25" customHeight="1" x14ac:dyDescent="0.25">
      <c r="A34" s="103"/>
      <c r="B34" s="103" t="s">
        <v>76</v>
      </c>
      <c r="C34" s="103" t="s">
        <v>32</v>
      </c>
      <c r="D34" s="103" t="s">
        <v>79</v>
      </c>
      <c r="E34" s="103" t="s">
        <v>25</v>
      </c>
      <c r="F34" s="103" t="s">
        <v>25</v>
      </c>
      <c r="G34" s="24" t="s">
        <v>61</v>
      </c>
      <c r="H34" s="24" t="s">
        <v>60</v>
      </c>
      <c r="I34" s="24">
        <f>'MERCADO TUSD'!$U$31</f>
        <v>0</v>
      </c>
      <c r="J34" s="15"/>
      <c r="L34" s="13">
        <f>1*(1 - CUSTOS!$M$29)</f>
        <v>1</v>
      </c>
      <c r="M3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2.2830958348558199</v>
      </c>
      <c r="N34" s="13">
        <f ca="1">(+M34+O34+R34+U34+V34+W34+X34+Y34+Z34+AA34+AC34+AH34+AI34+AJ34+AK34)*CUSTOS!$M$5</f>
        <v>1.7404024958348561E-11</v>
      </c>
      <c r="O34" s="13">
        <f>1 - CUSTOS!$M$29</f>
        <v>1</v>
      </c>
      <c r="P34" s="13">
        <f>1 - CUSTOS!$M$29</f>
        <v>1</v>
      </c>
      <c r="Q34" s="13">
        <f>1*(1 - CUSTOS!$M$29)</f>
        <v>1</v>
      </c>
      <c r="R34" s="13">
        <f>1 - CUSTOS!$M$29</f>
        <v>1</v>
      </c>
      <c r="S34" s="13">
        <f>1 - CUSTOS!$M$29</f>
        <v>1</v>
      </c>
      <c r="T34" s="13"/>
      <c r="U34" s="13">
        <f>TRANSICAO!$U$34*CUSTOS!$T$3</f>
        <v>0</v>
      </c>
      <c r="V34" s="13">
        <f>TRANSICAO!$V$34*CUSTOS!$T$3</f>
        <v>0</v>
      </c>
      <c r="W34" s="13">
        <f>TRANSICAO!$W$34*CUSTOS!$T$3</f>
        <v>0</v>
      </c>
      <c r="X34" s="13">
        <f>TRANSICAO!$X$34*CUSTOS!$T$3</f>
        <v>0</v>
      </c>
      <c r="Y34" s="13">
        <f>TRANSICAO!$Y$34*CUSTOS!$T$3</f>
        <v>404.38920000000002</v>
      </c>
      <c r="Z34" s="13">
        <f>TRANSICAO!$Z$34*CUSTOS!$T$3</f>
        <v>0</v>
      </c>
      <c r="AA34" s="13">
        <f>TRANSICAO!$AA$34*CUSTOS!$T$3</f>
        <v>0</v>
      </c>
      <c r="AB34" s="13">
        <f>TRANSICAO!$AB$34*CUSTOS!$T$3</f>
        <v>0</v>
      </c>
      <c r="AC34" s="13">
        <f>TRANSICAO!$AC$34*CUSTOS!$T$3</f>
        <v>1313.5778</v>
      </c>
      <c r="AD34" s="13">
        <f>TRANSICAO!$AD$34*CUSTOS!$T$3</f>
        <v>0</v>
      </c>
      <c r="AE34" s="13">
        <v>0</v>
      </c>
      <c r="AF34" s="13">
        <v>0</v>
      </c>
      <c r="AG34" s="13"/>
      <c r="AH34" s="13">
        <f>(1 - CUSTOS!$M$29)*18.1524</f>
        <v>18.1524</v>
      </c>
      <c r="AI34" s="13">
        <v>0</v>
      </c>
      <c r="AJ34" s="13">
        <f ca="1">$N$64*(1-CUSTOS!$M$29)</f>
        <v>0</v>
      </c>
      <c r="AK34" s="13">
        <f t="shared" ca="1" si="0"/>
        <v>0</v>
      </c>
      <c r="AL34" s="13"/>
      <c r="AM34" s="13"/>
      <c r="AP34" s="13">
        <f>IF((1 - CUSTOS!$M$29)&lt;&gt;0,1/(1 - CUSTOS!$M$29),1)</f>
        <v>1</v>
      </c>
    </row>
    <row r="35" spans="1:42" ht="11.25" customHeight="1" x14ac:dyDescent="0.25">
      <c r="A35" s="103"/>
      <c r="B35" s="103"/>
      <c r="C35" s="103"/>
      <c r="D35" s="103"/>
      <c r="E35" s="103"/>
      <c r="F35" s="103"/>
      <c r="G35" s="24" t="s">
        <v>74</v>
      </c>
      <c r="H35" s="24" t="s">
        <v>60</v>
      </c>
      <c r="I35" s="24">
        <f>'MERCADO TUSD'!$U$32</f>
        <v>0</v>
      </c>
      <c r="J35" s="15"/>
      <c r="L35" s="13">
        <f>1*(1 - CUSTOS!$M$29)</f>
        <v>1</v>
      </c>
      <c r="M3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2.2830958348558199</v>
      </c>
      <c r="N35" s="13">
        <f ca="1">(+M35+O35+R35+U35+V35+W35+X35+Y35+Z35+AA35+AC35+AH35+AI35+AJ35+AK35)*CUSTOS!$M$5</f>
        <v>1.0531883958348558E-11</v>
      </c>
      <c r="O35" s="13">
        <f>1 - CUSTOS!$M$29</f>
        <v>1</v>
      </c>
      <c r="P35" s="13">
        <f>1 - CUSTOS!$M$29</f>
        <v>1</v>
      </c>
      <c r="Q35" s="13">
        <f>1*(1 - CUSTOS!$M$29)</f>
        <v>1</v>
      </c>
      <c r="R35" s="13">
        <f>1 - CUSTOS!$M$29</f>
        <v>1</v>
      </c>
      <c r="S35" s="13">
        <f>1 - CUSTOS!$M$29</f>
        <v>1</v>
      </c>
      <c r="T35" s="13"/>
      <c r="U35" s="13">
        <f>TRANSICAO!$U$35*CUSTOS!$T$3</f>
        <v>0</v>
      </c>
      <c r="V35" s="13">
        <f>TRANSICAO!$V$35*CUSTOS!$T$3</f>
        <v>0</v>
      </c>
      <c r="W35" s="13">
        <f>TRANSICAO!$W$35*CUSTOS!$T$3</f>
        <v>0</v>
      </c>
      <c r="X35" s="13">
        <f>TRANSICAO!$X$35*CUSTOS!$T$3</f>
        <v>0</v>
      </c>
      <c r="Y35" s="13">
        <f>TRANSICAO!$Y$35*CUSTOS!$T$3</f>
        <v>242.60650000000001</v>
      </c>
      <c r="Z35" s="13">
        <f>TRANSICAO!$Z$35*CUSTOS!$T$3</f>
        <v>0</v>
      </c>
      <c r="AA35" s="13">
        <f>TRANSICAO!$AA$35*CUSTOS!$T$3</f>
        <v>0</v>
      </c>
      <c r="AB35" s="13">
        <f>TRANSICAO!$AB$35*CUSTOS!$T$3</f>
        <v>0</v>
      </c>
      <c r="AC35" s="13">
        <f>TRANSICAO!$AC$35*CUSTOS!$T$3</f>
        <v>788.14639999999997</v>
      </c>
      <c r="AD35" s="13">
        <f>TRANSICAO!$AD$35*CUSTOS!$T$3</f>
        <v>0</v>
      </c>
      <c r="AE35" s="13">
        <v>0</v>
      </c>
      <c r="AF35" s="13">
        <v>0</v>
      </c>
      <c r="AG35" s="13"/>
      <c r="AH35" s="13">
        <f>(1 - CUSTOS!$M$29)*18.1524</f>
        <v>18.1524</v>
      </c>
      <c r="AI35" s="13">
        <v>0</v>
      </c>
      <c r="AJ35" s="13">
        <f ca="1">$N$64*(1-CUSTOS!$M$29)</f>
        <v>0</v>
      </c>
      <c r="AK35" s="13">
        <f t="shared" ca="1" si="0"/>
        <v>0</v>
      </c>
      <c r="AL35" s="13"/>
      <c r="AM35" s="13"/>
      <c r="AP35" s="13">
        <f>IF((1 - CUSTOS!$M$29)&lt;&gt;0,1/(1 - CUSTOS!$M$29),1)</f>
        <v>1</v>
      </c>
    </row>
    <row r="36" spans="1:42" ht="11.25" customHeight="1" x14ac:dyDescent="0.25">
      <c r="A36" s="103"/>
      <c r="B36" s="103"/>
      <c r="C36" s="103"/>
      <c r="D36" s="103"/>
      <c r="E36" s="103"/>
      <c r="F36" s="103"/>
      <c r="G36" s="24" t="s">
        <v>62</v>
      </c>
      <c r="H36" s="24" t="s">
        <v>60</v>
      </c>
      <c r="I36" s="24">
        <f>'MERCADO TUSD'!$U$33</f>
        <v>0</v>
      </c>
      <c r="J36" s="15"/>
      <c r="L36" s="13">
        <f>1*(1 - CUSTOS!$M$29)</f>
        <v>1</v>
      </c>
      <c r="M3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2.2830958348558199</v>
      </c>
      <c r="N36" s="13">
        <f ca="1">(+M36+O36+R36+U36+V36+W36+X36+Y36+Z36+AA36+AC36+AH36+AI36+AJ36+AK36)*CUSTOS!$M$5</f>
        <v>3.6597469583485581E-12</v>
      </c>
      <c r="O36" s="13">
        <f>1 - CUSTOS!$M$29</f>
        <v>1</v>
      </c>
      <c r="P36" s="13">
        <f>1 - CUSTOS!$M$29</f>
        <v>1</v>
      </c>
      <c r="Q36" s="13">
        <f>1*(1 - CUSTOS!$M$29)</f>
        <v>1</v>
      </c>
      <c r="R36" s="13">
        <f>1 - CUSTOS!$M$29</f>
        <v>1</v>
      </c>
      <c r="S36" s="13">
        <f>1 - CUSTOS!$M$29</f>
        <v>1</v>
      </c>
      <c r="T36" s="13"/>
      <c r="U36" s="13">
        <f>TRANSICAO!$U$36*CUSTOS!$T$3</f>
        <v>0</v>
      </c>
      <c r="V36" s="13">
        <f>TRANSICAO!$V$36*CUSTOS!$T$3</f>
        <v>0</v>
      </c>
      <c r="W36" s="13">
        <f>TRANSICAO!$W$36*CUSTOS!$T$3</f>
        <v>0</v>
      </c>
      <c r="X36" s="13">
        <f>TRANSICAO!$X$36*CUSTOS!$T$3</f>
        <v>0</v>
      </c>
      <c r="Y36" s="13">
        <f>TRANSICAO!$Y$36*CUSTOS!$T$3</f>
        <v>80.823700000000002</v>
      </c>
      <c r="Z36" s="13">
        <f>TRANSICAO!$Z$36*CUSTOS!$T$3</f>
        <v>0</v>
      </c>
      <c r="AA36" s="13">
        <f>TRANSICAO!$AA$36*CUSTOS!$T$3</f>
        <v>0</v>
      </c>
      <c r="AB36" s="13">
        <f>TRANSICAO!$AB$36*CUSTOS!$T$3</f>
        <v>0</v>
      </c>
      <c r="AC36" s="13">
        <f>TRANSICAO!$AC$36*CUSTOS!$T$3</f>
        <v>262.71550000000002</v>
      </c>
      <c r="AD36" s="13">
        <f>TRANSICAO!$AD$36*CUSTOS!$T$3</f>
        <v>0</v>
      </c>
      <c r="AE36" s="13">
        <v>0</v>
      </c>
      <c r="AF36" s="13">
        <v>0</v>
      </c>
      <c r="AG36" s="13"/>
      <c r="AH36" s="13">
        <f>(1 - CUSTOS!$M$29)*18.1524</f>
        <v>18.1524</v>
      </c>
      <c r="AI36" s="13">
        <v>0</v>
      </c>
      <c r="AJ36" s="13">
        <f ca="1">$N$64*(1-CUSTOS!$M$29)</f>
        <v>0</v>
      </c>
      <c r="AK36" s="13">
        <f t="shared" ca="1" si="0"/>
        <v>0</v>
      </c>
      <c r="AL36" s="13"/>
      <c r="AM36" s="13"/>
      <c r="AP36" s="13">
        <f>IF((1 - CUSTOS!$M$29)&lt;&gt;0,1/(1 - CUSTOS!$M$29),1)</f>
        <v>1</v>
      </c>
    </row>
    <row r="37" spans="1:42" ht="11.25" customHeight="1" x14ac:dyDescent="0.25">
      <c r="A37" s="103"/>
      <c r="B37" s="23" t="s">
        <v>23</v>
      </c>
      <c r="C37" s="23" t="s">
        <v>32</v>
      </c>
      <c r="D37" s="23" t="s">
        <v>79</v>
      </c>
      <c r="E37" s="23" t="s">
        <v>25</v>
      </c>
      <c r="F37" s="23" t="s">
        <v>25</v>
      </c>
      <c r="G37" s="24" t="s">
        <v>67</v>
      </c>
      <c r="H37" s="24" t="s">
        <v>60</v>
      </c>
      <c r="I37" s="24">
        <f>'MERCADO TUSD'!$U$34</f>
        <v>0</v>
      </c>
      <c r="J37" s="15"/>
      <c r="L37" s="13">
        <f>1*(1 - CUSTOS!$M$29)</f>
        <v>1</v>
      </c>
      <c r="M3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2.2830958348558199</v>
      </c>
      <c r="N37" s="13">
        <f ca="1">(+M37+O37+R37+U37+V37+W37+X37+Y37+Z37+AA37+AC37+AH37+AI37+AJ37+AK37)*CUSTOS!$M$5</f>
        <v>6.0479149583485581E-12</v>
      </c>
      <c r="O37" s="13">
        <f>1 - CUSTOS!$M$29</f>
        <v>1</v>
      </c>
      <c r="P37" s="13">
        <f>1 - CUSTOS!$M$29</f>
        <v>1</v>
      </c>
      <c r="Q37" s="13">
        <f>1*(1 - CUSTOS!$M$29)</f>
        <v>1</v>
      </c>
      <c r="R37" s="13">
        <f>1 - CUSTOS!$M$29</f>
        <v>1</v>
      </c>
      <c r="S37" s="13">
        <f>1 - CUSTOS!$M$29</f>
        <v>1</v>
      </c>
      <c r="T37" s="13"/>
      <c r="U37" s="13">
        <f>TRANSICAO!$U$37*CUSTOS!$T$3</f>
        <v>0</v>
      </c>
      <c r="V37" s="13">
        <f>TRANSICAO!$V$37*CUSTOS!$T$3</f>
        <v>0</v>
      </c>
      <c r="W37" s="13">
        <f>TRANSICAO!$W$37*CUSTOS!$T$3</f>
        <v>0</v>
      </c>
      <c r="X37" s="13">
        <f>TRANSICAO!$X$37*CUSTOS!$T$3</f>
        <v>0</v>
      </c>
      <c r="Y37" s="13">
        <f>TRANSICAO!$Y$37*CUSTOS!$T$3</f>
        <v>137.0754</v>
      </c>
      <c r="Z37" s="13">
        <f>TRANSICAO!$Z$37*CUSTOS!$T$3</f>
        <v>0</v>
      </c>
      <c r="AA37" s="13">
        <f>TRANSICAO!$AA$37*CUSTOS!$T$3</f>
        <v>0</v>
      </c>
      <c r="AB37" s="13">
        <f>TRANSICAO!$AB$37*CUSTOS!$T$3</f>
        <v>0</v>
      </c>
      <c r="AC37" s="13">
        <f>TRANSICAO!$AC$37*CUSTOS!$T$3</f>
        <v>445.28059999999999</v>
      </c>
      <c r="AD37" s="13">
        <f>TRANSICAO!$AD$37*CUSTOS!$T$3</f>
        <v>0</v>
      </c>
      <c r="AE37" s="13">
        <v>0</v>
      </c>
      <c r="AF37" s="13">
        <v>0</v>
      </c>
      <c r="AG37" s="13"/>
      <c r="AH37" s="13">
        <f>(1 - CUSTOS!$M$29)*18.1524</f>
        <v>18.1524</v>
      </c>
      <c r="AI37" s="13">
        <v>0</v>
      </c>
      <c r="AJ37" s="13">
        <f ca="1">$N$64*(1-CUSTOS!$M$29)</f>
        <v>0</v>
      </c>
      <c r="AK37" s="13">
        <f t="shared" ca="1" si="0"/>
        <v>0</v>
      </c>
      <c r="AL37" s="13"/>
      <c r="AM37" s="13"/>
      <c r="AP37" s="13">
        <f>IF((1 - CUSTOS!$M$29)&lt;&gt;0,1/(1 - CUSTOS!$M$29),1)</f>
        <v>1</v>
      </c>
    </row>
    <row r="38" spans="1:42" ht="11.25" customHeight="1" x14ac:dyDescent="0.25">
      <c r="A38" s="103"/>
      <c r="B38" s="103" t="s">
        <v>76</v>
      </c>
      <c r="C38" s="103" t="s">
        <v>32</v>
      </c>
      <c r="D38" s="103" t="s">
        <v>80</v>
      </c>
      <c r="E38" s="103" t="s">
        <v>25</v>
      </c>
      <c r="F38" s="103" t="s">
        <v>25</v>
      </c>
      <c r="G38" s="24" t="s">
        <v>61</v>
      </c>
      <c r="H38" s="24" t="s">
        <v>60</v>
      </c>
      <c r="I38" s="24">
        <f>'MERCADO TUSD'!$U$35</f>
        <v>0</v>
      </c>
      <c r="J38" s="15"/>
      <c r="L38" s="13">
        <f>1*(1 - CUSTOS!$M$30)</f>
        <v>1</v>
      </c>
      <c r="M3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2.2830958348558199</v>
      </c>
      <c r="N38" s="13">
        <f ca="1">(+M38+O38+R38+U38+V38+W38+X38+Y38+Z38+AA38+AC38+AH38+AI38+AJ38+AK38)*CUSTOS!$M$5</f>
        <v>1.7404024958348561E-11</v>
      </c>
      <c r="O38" s="13">
        <f>1 - CUSTOS!$M$30</f>
        <v>1</v>
      </c>
      <c r="P38" s="13">
        <f>1 - CUSTOS!$M$30</f>
        <v>1</v>
      </c>
      <c r="Q38" s="13">
        <f>1*(1 - CUSTOS!$M$30)</f>
        <v>1</v>
      </c>
      <c r="R38" s="13">
        <f>1 - CUSTOS!$M$30</f>
        <v>1</v>
      </c>
      <c r="S38" s="13">
        <f>1 - CUSTOS!$M$30</f>
        <v>1</v>
      </c>
      <c r="T38" s="13"/>
      <c r="U38" s="13">
        <f>TRANSICAO!$U$38*CUSTOS!$T$3</f>
        <v>0</v>
      </c>
      <c r="V38" s="13">
        <f>TRANSICAO!$V$38*CUSTOS!$T$3</f>
        <v>0</v>
      </c>
      <c r="W38" s="13">
        <f>TRANSICAO!$W$38*CUSTOS!$T$3</f>
        <v>0</v>
      </c>
      <c r="X38" s="13">
        <f>TRANSICAO!$X$38*CUSTOS!$T$3</f>
        <v>0</v>
      </c>
      <c r="Y38" s="13">
        <f>TRANSICAO!$Y$38*CUSTOS!$T$3</f>
        <v>404.38920000000002</v>
      </c>
      <c r="Z38" s="13">
        <f>TRANSICAO!$Z$38*CUSTOS!$T$3</f>
        <v>0</v>
      </c>
      <c r="AA38" s="13">
        <f>TRANSICAO!$AA$38*CUSTOS!$T$3</f>
        <v>0</v>
      </c>
      <c r="AB38" s="13">
        <f>TRANSICAO!$AB$38*CUSTOS!$T$3</f>
        <v>0</v>
      </c>
      <c r="AC38" s="13">
        <f>TRANSICAO!$AC$38*CUSTOS!$T$3</f>
        <v>1313.5778</v>
      </c>
      <c r="AD38" s="13">
        <f>TRANSICAO!$AD$38*CUSTOS!$T$3</f>
        <v>0</v>
      </c>
      <c r="AE38" s="13">
        <v>0</v>
      </c>
      <c r="AF38" s="13">
        <v>0</v>
      </c>
      <c r="AG38" s="13"/>
      <c r="AH38" s="13">
        <f>(1 - CUSTOS!$M$30)*18.1524</f>
        <v>18.1524</v>
      </c>
      <c r="AI38" s="13">
        <v>0</v>
      </c>
      <c r="AJ38" s="13">
        <f ca="1">$N$64*(1-CUSTOS!$M$30)</f>
        <v>0</v>
      </c>
      <c r="AK38" s="13">
        <f t="shared" ca="1" si="0"/>
        <v>0</v>
      </c>
      <c r="AL38" s="13"/>
      <c r="AM38" s="13"/>
      <c r="AP38" s="13">
        <f>IF((1 - CUSTOS!$M$30)&lt;&gt;0,1/(1 - CUSTOS!$M$30),1)</f>
        <v>1</v>
      </c>
    </row>
    <row r="39" spans="1:42" ht="11.25" customHeight="1" x14ac:dyDescent="0.25">
      <c r="A39" s="103"/>
      <c r="B39" s="103"/>
      <c r="C39" s="103"/>
      <c r="D39" s="103"/>
      <c r="E39" s="103"/>
      <c r="F39" s="103"/>
      <c r="G39" s="24" t="s">
        <v>74</v>
      </c>
      <c r="H39" s="24" t="s">
        <v>60</v>
      </c>
      <c r="I39" s="24">
        <f>'MERCADO TUSD'!$U$36</f>
        <v>0</v>
      </c>
      <c r="J39" s="15"/>
      <c r="L39" s="13">
        <f>1*(1 - CUSTOS!$M$30)</f>
        <v>1</v>
      </c>
      <c r="M3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2.2830958348558199</v>
      </c>
      <c r="N39" s="13">
        <f ca="1">(+M39+O39+R39+U39+V39+W39+X39+Y39+Z39+AA39+AC39+AH39+AI39+AJ39+AK39)*CUSTOS!$M$5</f>
        <v>1.0531883958348558E-11</v>
      </c>
      <c r="O39" s="13">
        <f>1 - CUSTOS!$M$30</f>
        <v>1</v>
      </c>
      <c r="P39" s="13">
        <f>1 - CUSTOS!$M$30</f>
        <v>1</v>
      </c>
      <c r="Q39" s="13">
        <f>1*(1 - CUSTOS!$M$30)</f>
        <v>1</v>
      </c>
      <c r="R39" s="13">
        <f>1 - CUSTOS!$M$30</f>
        <v>1</v>
      </c>
      <c r="S39" s="13">
        <f>1 - CUSTOS!$M$30</f>
        <v>1</v>
      </c>
      <c r="T39" s="13"/>
      <c r="U39" s="13">
        <f>TRANSICAO!$U$39*CUSTOS!$T$3</f>
        <v>0</v>
      </c>
      <c r="V39" s="13">
        <f>TRANSICAO!$V$39*CUSTOS!$T$3</f>
        <v>0</v>
      </c>
      <c r="W39" s="13">
        <f>TRANSICAO!$W$39*CUSTOS!$T$3</f>
        <v>0</v>
      </c>
      <c r="X39" s="13">
        <f>TRANSICAO!$X$39*CUSTOS!$T$3</f>
        <v>0</v>
      </c>
      <c r="Y39" s="13">
        <f>TRANSICAO!$Y$39*CUSTOS!$T$3</f>
        <v>242.60650000000001</v>
      </c>
      <c r="Z39" s="13">
        <f>TRANSICAO!$Z$39*CUSTOS!$T$3</f>
        <v>0</v>
      </c>
      <c r="AA39" s="13">
        <f>TRANSICAO!$AA$39*CUSTOS!$T$3</f>
        <v>0</v>
      </c>
      <c r="AB39" s="13">
        <f>TRANSICAO!$AB$39*CUSTOS!$T$3</f>
        <v>0</v>
      </c>
      <c r="AC39" s="13">
        <f>TRANSICAO!$AC$39*CUSTOS!$T$3</f>
        <v>788.14639999999997</v>
      </c>
      <c r="AD39" s="13">
        <f>TRANSICAO!$AD$39*CUSTOS!$T$3</f>
        <v>0</v>
      </c>
      <c r="AE39" s="13">
        <v>0</v>
      </c>
      <c r="AF39" s="13">
        <v>0</v>
      </c>
      <c r="AG39" s="13"/>
      <c r="AH39" s="13">
        <f>(1 - CUSTOS!$M$30)*18.1524</f>
        <v>18.1524</v>
      </c>
      <c r="AI39" s="13">
        <v>0</v>
      </c>
      <c r="AJ39" s="13">
        <f ca="1">$N$64*(1-CUSTOS!$M$30)</f>
        <v>0</v>
      </c>
      <c r="AK39" s="13">
        <f t="shared" ca="1" si="0"/>
        <v>0</v>
      </c>
      <c r="AL39" s="13"/>
      <c r="AM39" s="13"/>
      <c r="AP39" s="13">
        <f>IF((1 - CUSTOS!$M$30)&lt;&gt;0,1/(1 - CUSTOS!$M$30),1)</f>
        <v>1</v>
      </c>
    </row>
    <row r="40" spans="1:42" ht="11.25" customHeight="1" x14ac:dyDescent="0.25">
      <c r="A40" s="103"/>
      <c r="B40" s="103"/>
      <c r="C40" s="103"/>
      <c r="D40" s="103"/>
      <c r="E40" s="103"/>
      <c r="F40" s="103"/>
      <c r="G40" s="24" t="s">
        <v>62</v>
      </c>
      <c r="H40" s="24" t="s">
        <v>60</v>
      </c>
      <c r="I40" s="24">
        <f>'MERCADO TUSD'!$U$37</f>
        <v>0</v>
      </c>
      <c r="J40" s="15"/>
      <c r="L40" s="13">
        <f>1*(1 - CUSTOS!$M$30)</f>
        <v>1</v>
      </c>
      <c r="M4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2.2830958348558199</v>
      </c>
      <c r="N40" s="13">
        <f ca="1">(+M40+O40+R40+U40+V40+W40+X40+Y40+Z40+AA40+AC40+AH40+AI40+AJ40+AK40)*CUSTOS!$M$5</f>
        <v>3.6597469583485581E-12</v>
      </c>
      <c r="O40" s="13">
        <f>1 - CUSTOS!$M$30</f>
        <v>1</v>
      </c>
      <c r="P40" s="13">
        <f>1 - CUSTOS!$M$30</f>
        <v>1</v>
      </c>
      <c r="Q40" s="13">
        <f>1*(1 - CUSTOS!$M$30)</f>
        <v>1</v>
      </c>
      <c r="R40" s="13">
        <f>1 - CUSTOS!$M$30</f>
        <v>1</v>
      </c>
      <c r="S40" s="13">
        <f>1 - CUSTOS!$M$30</f>
        <v>1</v>
      </c>
      <c r="T40" s="13"/>
      <c r="U40" s="13">
        <f>TRANSICAO!$U$40*CUSTOS!$T$3</f>
        <v>0</v>
      </c>
      <c r="V40" s="13">
        <f>TRANSICAO!$V$40*CUSTOS!$T$3</f>
        <v>0</v>
      </c>
      <c r="W40" s="13">
        <f>TRANSICAO!$W$40*CUSTOS!$T$3</f>
        <v>0</v>
      </c>
      <c r="X40" s="13">
        <f>TRANSICAO!$X$40*CUSTOS!$T$3</f>
        <v>0</v>
      </c>
      <c r="Y40" s="13">
        <f>TRANSICAO!$Y$40*CUSTOS!$T$3</f>
        <v>80.823700000000002</v>
      </c>
      <c r="Z40" s="13">
        <f>TRANSICAO!$Z$40*CUSTOS!$T$3</f>
        <v>0</v>
      </c>
      <c r="AA40" s="13">
        <f>TRANSICAO!$AA$40*CUSTOS!$T$3</f>
        <v>0</v>
      </c>
      <c r="AB40" s="13">
        <f>TRANSICAO!$AB$40*CUSTOS!$T$3</f>
        <v>0</v>
      </c>
      <c r="AC40" s="13">
        <f>TRANSICAO!$AC$40*CUSTOS!$T$3</f>
        <v>262.71550000000002</v>
      </c>
      <c r="AD40" s="13">
        <f>TRANSICAO!$AD$40*CUSTOS!$T$3</f>
        <v>0</v>
      </c>
      <c r="AE40" s="13">
        <v>0</v>
      </c>
      <c r="AF40" s="13">
        <v>0</v>
      </c>
      <c r="AG40" s="13"/>
      <c r="AH40" s="13">
        <f>(1 - CUSTOS!$M$30)*18.1524</f>
        <v>18.1524</v>
      </c>
      <c r="AI40" s="13">
        <v>0</v>
      </c>
      <c r="AJ40" s="13">
        <f ca="1">$N$64*(1-CUSTOS!$M$30)</f>
        <v>0</v>
      </c>
      <c r="AK40" s="13">
        <f t="shared" ca="1" si="0"/>
        <v>0</v>
      </c>
      <c r="AL40" s="13"/>
      <c r="AM40" s="13"/>
      <c r="AP40" s="13">
        <f>IF((1 - CUSTOS!$M$30)&lt;&gt;0,1/(1 - CUSTOS!$M$30),1)</f>
        <v>1</v>
      </c>
    </row>
    <row r="41" spans="1:42" ht="11.25" customHeight="1" x14ac:dyDescent="0.25">
      <c r="A41" s="103"/>
      <c r="B41" s="23" t="s">
        <v>23</v>
      </c>
      <c r="C41" s="23" t="s">
        <v>32</v>
      </c>
      <c r="D41" s="23" t="s">
        <v>80</v>
      </c>
      <c r="E41" s="23" t="s">
        <v>25</v>
      </c>
      <c r="F41" s="23" t="s">
        <v>25</v>
      </c>
      <c r="G41" s="24" t="s">
        <v>67</v>
      </c>
      <c r="H41" s="24" t="s">
        <v>60</v>
      </c>
      <c r="I41" s="24">
        <f>'MERCADO TUSD'!$U$38</f>
        <v>0</v>
      </c>
      <c r="J41" s="15"/>
      <c r="L41" s="13">
        <f>1*(1 - CUSTOS!$M$30)</f>
        <v>1</v>
      </c>
      <c r="M4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2.2830958348558199</v>
      </c>
      <c r="N41" s="13">
        <f ca="1">(+M41+O41+R41+U41+V41+W41+X41+Y41+Z41+AA41+AC41+AH41+AI41+AJ41+AK41)*CUSTOS!$M$5</f>
        <v>6.0479149583485581E-12</v>
      </c>
      <c r="O41" s="13">
        <f>1 - CUSTOS!$M$30</f>
        <v>1</v>
      </c>
      <c r="P41" s="13">
        <f>1 - CUSTOS!$M$30</f>
        <v>1</v>
      </c>
      <c r="Q41" s="13">
        <f>1*(1 - CUSTOS!$M$30)</f>
        <v>1</v>
      </c>
      <c r="R41" s="13">
        <f>1 - CUSTOS!$M$30</f>
        <v>1</v>
      </c>
      <c r="S41" s="13">
        <f>1 - CUSTOS!$M$30</f>
        <v>1</v>
      </c>
      <c r="T41" s="13"/>
      <c r="U41" s="13">
        <f>TRANSICAO!$U$41*CUSTOS!$T$3</f>
        <v>0</v>
      </c>
      <c r="V41" s="13">
        <f>TRANSICAO!$V$41*CUSTOS!$T$3</f>
        <v>0</v>
      </c>
      <c r="W41" s="13">
        <f>TRANSICAO!$W$41*CUSTOS!$T$3</f>
        <v>0</v>
      </c>
      <c r="X41" s="13">
        <f>TRANSICAO!$X$41*CUSTOS!$T$3</f>
        <v>0</v>
      </c>
      <c r="Y41" s="13">
        <f>TRANSICAO!$Y$41*CUSTOS!$T$3</f>
        <v>137.0754</v>
      </c>
      <c r="Z41" s="13">
        <f>TRANSICAO!$Z$41*CUSTOS!$T$3</f>
        <v>0</v>
      </c>
      <c r="AA41" s="13">
        <f>TRANSICAO!$AA$41*CUSTOS!$T$3</f>
        <v>0</v>
      </c>
      <c r="AB41" s="13">
        <f>TRANSICAO!$AB$41*CUSTOS!$T$3</f>
        <v>0</v>
      </c>
      <c r="AC41" s="13">
        <f>TRANSICAO!$AC$41*CUSTOS!$T$3</f>
        <v>445.28059999999999</v>
      </c>
      <c r="AD41" s="13">
        <f>TRANSICAO!$AD$41*CUSTOS!$T$3</f>
        <v>0</v>
      </c>
      <c r="AE41" s="13">
        <v>0</v>
      </c>
      <c r="AF41" s="13">
        <v>0</v>
      </c>
      <c r="AG41" s="13"/>
      <c r="AH41" s="13">
        <f>(1 - CUSTOS!$M$30)*18.1524</f>
        <v>18.1524</v>
      </c>
      <c r="AI41" s="13">
        <v>0</v>
      </c>
      <c r="AJ41" s="13">
        <f ca="1">$N$64*(1-CUSTOS!$M$30)</f>
        <v>0</v>
      </c>
      <c r="AK41" s="13">
        <f t="shared" ca="1" si="0"/>
        <v>0</v>
      </c>
      <c r="AL41" s="13"/>
      <c r="AM41" s="13"/>
      <c r="AP41" s="13">
        <f>IF((1 - CUSTOS!$M$30)&lt;&gt;0,1/(1 - CUSTOS!$M$30),1)</f>
        <v>1</v>
      </c>
    </row>
    <row r="42" spans="1:42" ht="11.25" customHeight="1" x14ac:dyDescent="0.25">
      <c r="A42" s="103"/>
      <c r="B42" s="103" t="s">
        <v>78</v>
      </c>
      <c r="C42" s="103" t="s">
        <v>32</v>
      </c>
      <c r="D42" s="23" t="s">
        <v>25</v>
      </c>
      <c r="E42" s="23" t="s">
        <v>25</v>
      </c>
      <c r="F42" s="23" t="s">
        <v>25</v>
      </c>
      <c r="G42" s="24" t="s">
        <v>67</v>
      </c>
      <c r="H42" s="24" t="s">
        <v>60</v>
      </c>
      <c r="I42" s="24">
        <f>'MERCADO TUSD'!$U$39</f>
        <v>0</v>
      </c>
      <c r="J42" s="15"/>
      <c r="L42" s="13">
        <f>1*(1 - CUSTOS!$M$28)</f>
        <v>1</v>
      </c>
      <c r="M4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2.2830958348558199</v>
      </c>
      <c r="N42" s="13">
        <f ca="1">(+M42+O42+R42+U42+V42+W42+X42+Y42+Z42+AA42+AC42+AH42+AI42+AJ42+AK42)*CUSTOS!$M$5</f>
        <v>6.0479149583485581E-12</v>
      </c>
      <c r="O42" s="13">
        <f>1 - CUSTOS!$M$28</f>
        <v>1</v>
      </c>
      <c r="P42" s="13">
        <f>1 - CUSTOS!$M$28</f>
        <v>1</v>
      </c>
      <c r="Q42" s="13">
        <f>1*(1 - CUSTOS!$M$28)</f>
        <v>1</v>
      </c>
      <c r="R42" s="13">
        <f>1 - CUSTOS!$M$28</f>
        <v>1</v>
      </c>
      <c r="S42" s="13">
        <f>1 - CUSTOS!$M$28</f>
        <v>1</v>
      </c>
      <c r="T42" s="13"/>
      <c r="U42" s="13">
        <f>TRANSICAO!$U$42*CUSTOS!$T$3</f>
        <v>0</v>
      </c>
      <c r="V42" s="13">
        <f>TRANSICAO!$V$42*CUSTOS!$T$3</f>
        <v>0</v>
      </c>
      <c r="W42" s="13">
        <f>TRANSICAO!$W$42*CUSTOS!$T$3</f>
        <v>0</v>
      </c>
      <c r="X42" s="13">
        <f>TRANSICAO!$X$42*CUSTOS!$T$3</f>
        <v>0</v>
      </c>
      <c r="Y42" s="13">
        <f>TRANSICAO!$Y$42*CUSTOS!$T$3</f>
        <v>137.0754</v>
      </c>
      <c r="Z42" s="13">
        <f>TRANSICAO!$Z$42*CUSTOS!$T$3</f>
        <v>0</v>
      </c>
      <c r="AA42" s="13">
        <f>TRANSICAO!$AA$42*CUSTOS!$T$3</f>
        <v>0</v>
      </c>
      <c r="AB42" s="13">
        <f>TRANSICAO!$AB$42*CUSTOS!$T$3</f>
        <v>0</v>
      </c>
      <c r="AC42" s="13">
        <f>TRANSICAO!$AC$42*CUSTOS!$T$3</f>
        <v>445.28059999999999</v>
      </c>
      <c r="AD42" s="13">
        <f>TRANSICAO!$AD$42*CUSTOS!$T$3</f>
        <v>0</v>
      </c>
      <c r="AE42" s="13">
        <v>0</v>
      </c>
      <c r="AF42" s="13">
        <v>0</v>
      </c>
      <c r="AG42" s="13"/>
      <c r="AH42" s="13">
        <f>(1 - CUSTOS!$M$28)*18.1524</f>
        <v>18.1524</v>
      </c>
      <c r="AI42" s="13">
        <v>0</v>
      </c>
      <c r="AJ42" s="13">
        <f ca="1">$N$64*(1-CUSTOS!$M$28)</f>
        <v>0</v>
      </c>
      <c r="AK42" s="13">
        <f t="shared" ca="1" si="0"/>
        <v>0</v>
      </c>
      <c r="AL42" s="13"/>
      <c r="AM42" s="13"/>
      <c r="AP42" s="13">
        <f>IF((1 - CUSTOS!$M$28)&lt;&gt;0,1/(1 - CUSTOS!$M$28),1)</f>
        <v>1</v>
      </c>
    </row>
    <row r="43" spans="1:42" ht="11.25" customHeight="1" x14ac:dyDescent="0.25">
      <c r="A43" s="103"/>
      <c r="B43" s="103"/>
      <c r="C43" s="103"/>
      <c r="D43" s="23" t="s">
        <v>79</v>
      </c>
      <c r="E43" s="23" t="s">
        <v>25</v>
      </c>
      <c r="F43" s="23" t="s">
        <v>25</v>
      </c>
      <c r="G43" s="24" t="s">
        <v>67</v>
      </c>
      <c r="H43" s="24" t="s">
        <v>60</v>
      </c>
      <c r="I43" s="24">
        <f>'MERCADO TUSD'!$U$40</f>
        <v>0</v>
      </c>
      <c r="J43" s="15"/>
      <c r="L43" s="13">
        <f>1*(1 - CUSTOS!$M$29)</f>
        <v>1</v>
      </c>
      <c r="M4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2.2830958348558199</v>
      </c>
      <c r="N43" s="13">
        <f ca="1">(+M43+O43+R43+U43+V43+W43+X43+Y43+Z43+AA43+AC43+AH43+AI43+AJ43+AK43)*CUSTOS!$M$5</f>
        <v>6.0479149583485581E-12</v>
      </c>
      <c r="O43" s="13">
        <f>1 - CUSTOS!$M$29</f>
        <v>1</v>
      </c>
      <c r="P43" s="13">
        <f>1 - CUSTOS!$M$29</f>
        <v>1</v>
      </c>
      <c r="Q43" s="13">
        <f>1*(1 - CUSTOS!$M$29)</f>
        <v>1</v>
      </c>
      <c r="R43" s="13">
        <f>1 - CUSTOS!$M$29</f>
        <v>1</v>
      </c>
      <c r="S43" s="13">
        <f>1 - CUSTOS!$M$29</f>
        <v>1</v>
      </c>
      <c r="T43" s="13"/>
      <c r="U43" s="13">
        <f>TRANSICAO!$U$43*CUSTOS!$T$3</f>
        <v>0</v>
      </c>
      <c r="V43" s="13">
        <f>TRANSICAO!$V$43*CUSTOS!$T$3</f>
        <v>0</v>
      </c>
      <c r="W43" s="13">
        <f>TRANSICAO!$W$43*CUSTOS!$T$3</f>
        <v>0</v>
      </c>
      <c r="X43" s="13">
        <f>TRANSICAO!$X$43*CUSTOS!$T$3</f>
        <v>0</v>
      </c>
      <c r="Y43" s="13">
        <f>TRANSICAO!$Y$43*CUSTOS!$T$3</f>
        <v>137.0754</v>
      </c>
      <c r="Z43" s="13">
        <f>TRANSICAO!$Z$43*CUSTOS!$T$3</f>
        <v>0</v>
      </c>
      <c r="AA43" s="13">
        <f>TRANSICAO!$AA$43*CUSTOS!$T$3</f>
        <v>0</v>
      </c>
      <c r="AB43" s="13">
        <f>TRANSICAO!$AB$43*CUSTOS!$T$3</f>
        <v>0</v>
      </c>
      <c r="AC43" s="13">
        <f>TRANSICAO!$AC$43*CUSTOS!$T$3</f>
        <v>445.28059999999999</v>
      </c>
      <c r="AD43" s="13">
        <f>TRANSICAO!$AD$43*CUSTOS!$T$3</f>
        <v>0</v>
      </c>
      <c r="AE43" s="13">
        <v>0</v>
      </c>
      <c r="AF43" s="13">
        <v>0</v>
      </c>
      <c r="AG43" s="13"/>
      <c r="AH43" s="13">
        <f>(1 - CUSTOS!$M$29)*18.1524</f>
        <v>18.1524</v>
      </c>
      <c r="AI43" s="13">
        <v>0</v>
      </c>
      <c r="AJ43" s="13">
        <f ca="1">$N$64*(1-CUSTOS!$M$29)</f>
        <v>0</v>
      </c>
      <c r="AK43" s="13">
        <f t="shared" ca="1" si="0"/>
        <v>0</v>
      </c>
      <c r="AL43" s="13"/>
      <c r="AM43" s="13"/>
      <c r="AP43" s="13">
        <f>IF((1 - CUSTOS!$M$29)&lt;&gt;0,1/(1 - CUSTOS!$M$29),1)</f>
        <v>1</v>
      </c>
    </row>
    <row r="44" spans="1:42" ht="11.25" customHeight="1" x14ac:dyDescent="0.25">
      <c r="A44" s="103"/>
      <c r="B44" s="103"/>
      <c r="C44" s="103"/>
      <c r="D44" s="23" t="s">
        <v>80</v>
      </c>
      <c r="E44" s="23" t="s">
        <v>25</v>
      </c>
      <c r="F44" s="23" t="s">
        <v>25</v>
      </c>
      <c r="G44" s="24" t="s">
        <v>67</v>
      </c>
      <c r="H44" s="24" t="s">
        <v>60</v>
      </c>
      <c r="I44" s="24">
        <f>'MERCADO TUSD'!$U$41</f>
        <v>0</v>
      </c>
      <c r="J44" s="15"/>
      <c r="L44" s="13">
        <f>1*(1 - CUSTOS!$M$30)</f>
        <v>1</v>
      </c>
      <c r="M4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2.2830958348558199</v>
      </c>
      <c r="N44" s="13">
        <f ca="1">(+M44+O44+R44+U44+V44+W44+X44+Y44+Z44+AA44+AC44+AH44+AI44+AJ44+AK44)*CUSTOS!$M$5</f>
        <v>6.0479149583485581E-12</v>
      </c>
      <c r="O44" s="13">
        <f>1 - CUSTOS!$M$30</f>
        <v>1</v>
      </c>
      <c r="P44" s="13">
        <f>1 - CUSTOS!$M$30</f>
        <v>1</v>
      </c>
      <c r="Q44" s="13">
        <f>1*(1 - CUSTOS!$M$30)</f>
        <v>1</v>
      </c>
      <c r="R44" s="13">
        <f>1 - CUSTOS!$M$30</f>
        <v>1</v>
      </c>
      <c r="S44" s="13">
        <f>1 - CUSTOS!$M$30</f>
        <v>1</v>
      </c>
      <c r="T44" s="13"/>
      <c r="U44" s="13">
        <f>TRANSICAO!$U$44*CUSTOS!$T$3</f>
        <v>0</v>
      </c>
      <c r="V44" s="13">
        <f>TRANSICAO!$V$44*CUSTOS!$T$3</f>
        <v>0</v>
      </c>
      <c r="W44" s="13">
        <f>TRANSICAO!$W$44*CUSTOS!$T$3</f>
        <v>0</v>
      </c>
      <c r="X44" s="13">
        <f>TRANSICAO!$X$44*CUSTOS!$T$3</f>
        <v>0</v>
      </c>
      <c r="Y44" s="13">
        <f>TRANSICAO!$Y$44*CUSTOS!$T$3</f>
        <v>137.0754</v>
      </c>
      <c r="Z44" s="13">
        <f>TRANSICAO!$Z$44*CUSTOS!$T$3</f>
        <v>0</v>
      </c>
      <c r="AA44" s="13">
        <f>TRANSICAO!$AA$44*CUSTOS!$T$3</f>
        <v>0</v>
      </c>
      <c r="AB44" s="13">
        <f>TRANSICAO!$AB$44*CUSTOS!$T$3</f>
        <v>0</v>
      </c>
      <c r="AC44" s="13">
        <f>TRANSICAO!$AC$44*CUSTOS!$T$3</f>
        <v>445.28059999999999</v>
      </c>
      <c r="AD44" s="13">
        <f>TRANSICAO!$AD$44*CUSTOS!$T$3</f>
        <v>0</v>
      </c>
      <c r="AE44" s="13">
        <v>0</v>
      </c>
      <c r="AF44" s="13">
        <v>0</v>
      </c>
      <c r="AG44" s="13"/>
      <c r="AH44" s="13">
        <f>(1 - CUSTOS!$M$30)*18.1524</f>
        <v>18.1524</v>
      </c>
      <c r="AI44" s="13">
        <v>0</v>
      </c>
      <c r="AJ44" s="13">
        <f ca="1">$N$64*(1-CUSTOS!$M$30)</f>
        <v>0</v>
      </c>
      <c r="AK44" s="13">
        <f t="shared" ca="1" si="0"/>
        <v>0</v>
      </c>
      <c r="AL44" s="13"/>
      <c r="AM44" s="13"/>
      <c r="AP44" s="13">
        <f>IF((1 - CUSTOS!$M$30)&lt;&gt;0,1/(1 - CUSTOS!$M$30),1)</f>
        <v>1</v>
      </c>
    </row>
    <row r="45" spans="1:42" ht="11.25" customHeight="1" x14ac:dyDescent="0.25">
      <c r="A45" s="103" t="s">
        <v>28</v>
      </c>
      <c r="B45" s="103" t="s">
        <v>76</v>
      </c>
      <c r="C45" s="103" t="s">
        <v>25</v>
      </c>
      <c r="D45" s="103" t="s">
        <v>25</v>
      </c>
      <c r="E45" s="103" t="s">
        <v>25</v>
      </c>
      <c r="F45" s="103" t="s">
        <v>25</v>
      </c>
      <c r="G45" s="24" t="s">
        <v>61</v>
      </c>
      <c r="H45" s="24" t="s">
        <v>60</v>
      </c>
      <c r="I45" s="24">
        <f>'MERCADO TUSD'!$U$42</f>
        <v>0</v>
      </c>
      <c r="J45" s="15"/>
      <c r="L45" s="13">
        <f>1*(1 - CUSTOS!$M$31)</f>
        <v>1</v>
      </c>
      <c r="M4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2.2830958348558199</v>
      </c>
      <c r="N45" s="13">
        <f ca="1">(+M45+O45+R45+U45+V45+W45+X45+Y45+Z45+AA45+AC45+AH45+AI45+AJ45+AK45)*CUSTOS!$M$5</f>
        <v>2.0316815958348556E-11</v>
      </c>
      <c r="O45" s="13">
        <f>1 - CUSTOS!$M$31</f>
        <v>1</v>
      </c>
      <c r="P45" s="13">
        <f>1 - CUSTOS!$M$31</f>
        <v>1</v>
      </c>
      <c r="Q45" s="13">
        <f>1*(1 - CUSTOS!$M$31)</f>
        <v>1</v>
      </c>
      <c r="R45" s="13">
        <f>1 - CUSTOS!$M$31</f>
        <v>1</v>
      </c>
      <c r="S45" s="13">
        <f>1 - CUSTOS!$M$31</f>
        <v>1</v>
      </c>
      <c r="T45" s="13"/>
      <c r="U45" s="13">
        <f>TRANSICAO!$U$45*CUSTOS!$T$3</f>
        <v>0</v>
      </c>
      <c r="V45" s="13">
        <f>TRANSICAO!$V$45*CUSTOS!$T$3</f>
        <v>0</v>
      </c>
      <c r="W45" s="13">
        <f>TRANSICAO!$W$45*CUSTOS!$T$3</f>
        <v>0</v>
      </c>
      <c r="X45" s="13">
        <f>TRANSICAO!$X$45*CUSTOS!$T$3</f>
        <v>0</v>
      </c>
      <c r="Y45" s="13">
        <f>TRANSICAO!$Y$45*CUSTOS!$T$3</f>
        <v>473.02850000000001</v>
      </c>
      <c r="Z45" s="13">
        <f>TRANSICAO!$Z$45*CUSTOS!$T$3</f>
        <v>0</v>
      </c>
      <c r="AA45" s="13">
        <f>TRANSICAO!$AA$45*CUSTOS!$T$3</f>
        <v>0</v>
      </c>
      <c r="AB45" s="13">
        <f>TRANSICAO!$AB$45*CUSTOS!$T$3</f>
        <v>0</v>
      </c>
      <c r="AC45" s="13">
        <f>TRANSICAO!$AC$45*CUSTOS!$T$3</f>
        <v>1536.2175999999999</v>
      </c>
      <c r="AD45" s="13">
        <f>TRANSICAO!$AD$45*CUSTOS!$T$3</f>
        <v>0</v>
      </c>
      <c r="AE45" s="13">
        <v>0</v>
      </c>
      <c r="AF45" s="13">
        <v>0</v>
      </c>
      <c r="AG45" s="13"/>
      <c r="AH45" s="13">
        <f>(1 - CUSTOS!$M$31)*18.1524</f>
        <v>18.1524</v>
      </c>
      <c r="AI45" s="13">
        <v>0</v>
      </c>
      <c r="AJ45" s="13">
        <f ca="1">$N$64*(1-CUSTOS!$M$31)</f>
        <v>0</v>
      </c>
      <c r="AK45" s="13">
        <f t="shared" ca="1" si="0"/>
        <v>0</v>
      </c>
      <c r="AL45" s="13"/>
      <c r="AM45" s="13"/>
      <c r="AP45" s="13">
        <f>IF((1 - CUSTOS!$M$31)&lt;&gt;0,1/(1 - CUSTOS!$M$31),1)</f>
        <v>1</v>
      </c>
    </row>
    <row r="46" spans="1:42" ht="11.25" customHeight="1" x14ac:dyDescent="0.25">
      <c r="A46" s="103"/>
      <c r="B46" s="103"/>
      <c r="C46" s="103"/>
      <c r="D46" s="103"/>
      <c r="E46" s="103"/>
      <c r="F46" s="103"/>
      <c r="G46" s="24" t="s">
        <v>74</v>
      </c>
      <c r="H46" s="24" t="s">
        <v>60</v>
      </c>
      <c r="I46" s="24">
        <f>'MERCADO TUSD'!$U$43</f>
        <v>0</v>
      </c>
      <c r="J46" s="15"/>
      <c r="L46" s="13">
        <f>1*(1 - CUSTOS!$M$31)</f>
        <v>1</v>
      </c>
      <c r="M4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2.2830958348558199</v>
      </c>
      <c r="N46" s="13">
        <f ca="1">(+M46+O46+R46+U46+V46+W46+X46+Y46+Z46+AA46+AC46+AH46+AI46+AJ46+AK46)*CUSTOS!$M$5</f>
        <v>1.2279288958348556E-11</v>
      </c>
      <c r="O46" s="13">
        <f>1 - CUSTOS!$M$31</f>
        <v>1</v>
      </c>
      <c r="P46" s="13">
        <f>1 - CUSTOS!$M$31</f>
        <v>1</v>
      </c>
      <c r="Q46" s="13">
        <f>1*(1 - CUSTOS!$M$31)</f>
        <v>1</v>
      </c>
      <c r="R46" s="13">
        <f>1 - CUSTOS!$M$31</f>
        <v>1</v>
      </c>
      <c r="S46" s="13">
        <f>1 - CUSTOS!$M$31</f>
        <v>1</v>
      </c>
      <c r="T46" s="13"/>
      <c r="U46" s="13">
        <f>TRANSICAO!$U$46*CUSTOS!$T$3</f>
        <v>0</v>
      </c>
      <c r="V46" s="13">
        <f>TRANSICAO!$V$46*CUSTOS!$T$3</f>
        <v>0</v>
      </c>
      <c r="W46" s="13">
        <f>TRANSICAO!$W$46*CUSTOS!$T$3</f>
        <v>0</v>
      </c>
      <c r="X46" s="13">
        <f>TRANSICAO!$X$46*CUSTOS!$T$3</f>
        <v>0</v>
      </c>
      <c r="Y46" s="13">
        <f>TRANSICAO!$Y$46*CUSTOS!$T$3</f>
        <v>283.7629</v>
      </c>
      <c r="Z46" s="13">
        <f>TRANSICAO!$Z$46*CUSTOS!$T$3</f>
        <v>0</v>
      </c>
      <c r="AA46" s="13">
        <f>TRANSICAO!$AA$46*CUSTOS!$T$3</f>
        <v>0</v>
      </c>
      <c r="AB46" s="13">
        <f>TRANSICAO!$AB$46*CUSTOS!$T$3</f>
        <v>0</v>
      </c>
      <c r="AC46" s="13">
        <f>TRANSICAO!$AC$46*CUSTOS!$T$3</f>
        <v>921.73050000000001</v>
      </c>
      <c r="AD46" s="13">
        <f>TRANSICAO!$AD$46*CUSTOS!$T$3</f>
        <v>0</v>
      </c>
      <c r="AE46" s="13">
        <v>0</v>
      </c>
      <c r="AF46" s="13">
        <v>0</v>
      </c>
      <c r="AG46" s="13"/>
      <c r="AH46" s="13">
        <f>(1 - CUSTOS!$M$31)*18.1524</f>
        <v>18.1524</v>
      </c>
      <c r="AI46" s="13">
        <v>0</v>
      </c>
      <c r="AJ46" s="13">
        <f ca="1">$N$64*(1-CUSTOS!$M$31)</f>
        <v>0</v>
      </c>
      <c r="AK46" s="13">
        <f t="shared" ca="1" si="0"/>
        <v>0</v>
      </c>
      <c r="AL46" s="13"/>
      <c r="AM46" s="13"/>
      <c r="AP46" s="13">
        <f>IF((1 - CUSTOS!$M$31)&lt;&gt;0,1/(1 - CUSTOS!$M$31),1)</f>
        <v>1</v>
      </c>
    </row>
    <row r="47" spans="1:42" ht="11.25" customHeight="1" x14ac:dyDescent="0.25">
      <c r="A47" s="103"/>
      <c r="B47" s="103"/>
      <c r="C47" s="103"/>
      <c r="D47" s="103"/>
      <c r="E47" s="103"/>
      <c r="F47" s="103"/>
      <c r="G47" s="24" t="s">
        <v>62</v>
      </c>
      <c r="H47" s="24" t="s">
        <v>60</v>
      </c>
      <c r="I47" s="24">
        <f>'MERCADO TUSD'!$U$44</f>
        <v>0</v>
      </c>
      <c r="J47" s="15"/>
      <c r="L47" s="13">
        <f>1*(1 - CUSTOS!$M$31)</f>
        <v>1</v>
      </c>
      <c r="M4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2.2830958348558199</v>
      </c>
      <c r="N47" s="13">
        <f ca="1">(+M47+O47+R47+U47+V47+W47+X47+Y47+Z47+AA47+AC47+AH47+AI47+AJ47+AK47)*CUSTOS!$M$5</f>
        <v>4.2424439583485579E-12</v>
      </c>
      <c r="O47" s="13">
        <f>1 - CUSTOS!$M$31</f>
        <v>1</v>
      </c>
      <c r="P47" s="13">
        <f>1 - CUSTOS!$M$31</f>
        <v>1</v>
      </c>
      <c r="Q47" s="13">
        <f>1*(1 - CUSTOS!$M$31)</f>
        <v>1</v>
      </c>
      <c r="R47" s="13">
        <f>1 - CUSTOS!$M$31</f>
        <v>1</v>
      </c>
      <c r="S47" s="13">
        <f>1 - CUSTOS!$M$31</f>
        <v>1</v>
      </c>
      <c r="T47" s="13"/>
      <c r="U47" s="13">
        <f>TRANSICAO!$U$47*CUSTOS!$T$3</f>
        <v>0</v>
      </c>
      <c r="V47" s="13">
        <f>TRANSICAO!$V$47*CUSTOS!$T$3</f>
        <v>0</v>
      </c>
      <c r="W47" s="13">
        <f>TRANSICAO!$W$47*CUSTOS!$T$3</f>
        <v>0</v>
      </c>
      <c r="X47" s="13">
        <f>TRANSICAO!$X$47*CUSTOS!$T$3</f>
        <v>0</v>
      </c>
      <c r="Y47" s="13">
        <f>TRANSICAO!$Y$47*CUSTOS!$T$3</f>
        <v>94.565100000000001</v>
      </c>
      <c r="Z47" s="13">
        <f>TRANSICAO!$Z$47*CUSTOS!$T$3</f>
        <v>0</v>
      </c>
      <c r="AA47" s="13">
        <f>TRANSICAO!$AA$47*CUSTOS!$T$3</f>
        <v>0</v>
      </c>
      <c r="AB47" s="13">
        <f>TRANSICAO!$AB$47*CUSTOS!$T$3</f>
        <v>0</v>
      </c>
      <c r="AC47" s="13">
        <f>TRANSICAO!$AC$47*CUSTOS!$T$3</f>
        <v>307.24380000000002</v>
      </c>
      <c r="AD47" s="13">
        <f>TRANSICAO!$AD$47*CUSTOS!$T$3</f>
        <v>0</v>
      </c>
      <c r="AE47" s="13">
        <v>0</v>
      </c>
      <c r="AF47" s="13">
        <v>0</v>
      </c>
      <c r="AG47" s="13"/>
      <c r="AH47" s="13">
        <f>(1 - CUSTOS!$M$31)*18.1524</f>
        <v>18.1524</v>
      </c>
      <c r="AI47" s="13">
        <v>0</v>
      </c>
      <c r="AJ47" s="13">
        <f ca="1">$N$64*(1-CUSTOS!$M$31)</f>
        <v>0</v>
      </c>
      <c r="AK47" s="13">
        <f t="shared" ca="1" si="0"/>
        <v>0</v>
      </c>
      <c r="AL47" s="13"/>
      <c r="AM47" s="13"/>
      <c r="AP47" s="13">
        <f>IF((1 - CUSTOS!$M$31)&lt;&gt;0,1/(1 - CUSTOS!$M$31),1)</f>
        <v>1</v>
      </c>
    </row>
    <row r="48" spans="1:42" ht="11.25" customHeight="1" x14ac:dyDescent="0.25">
      <c r="A48" s="10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67</v>
      </c>
      <c r="H48" s="24" t="s">
        <v>60</v>
      </c>
      <c r="I48" s="24">
        <f>'MERCADO TUSD'!$U$45</f>
        <v>3301.431</v>
      </c>
      <c r="J48" s="15"/>
      <c r="L48" s="13">
        <f>1*(1 - CUSTOS!$M$31)</f>
        <v>1</v>
      </c>
      <c r="M4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2.2830958348558199</v>
      </c>
      <c r="N48" s="13">
        <f ca="1">(+M48+O48+R48+U48+V48+W48+X48+Y48+Z48+AA48+AC48+AH48+AI48+AJ48+AK48)*CUSTOS!$M$5</f>
        <v>6.0479149583485581E-12</v>
      </c>
      <c r="O48" s="13">
        <f>1 - CUSTOS!$M$31</f>
        <v>1</v>
      </c>
      <c r="P48" s="13">
        <f>1 - CUSTOS!$M$31</f>
        <v>1</v>
      </c>
      <c r="Q48" s="13">
        <f>1*(1 - CUSTOS!$M$31)</f>
        <v>1</v>
      </c>
      <c r="R48" s="13">
        <f>1 - CUSTOS!$M$31</f>
        <v>1</v>
      </c>
      <c r="S48" s="13">
        <f>1 - CUSTOS!$M$31</f>
        <v>1</v>
      </c>
      <c r="T48" s="13"/>
      <c r="U48" s="13">
        <f>TRANSICAO!$U$48*CUSTOS!$T$3</f>
        <v>0</v>
      </c>
      <c r="V48" s="13">
        <f>TRANSICAO!$V$48*CUSTOS!$T$3</f>
        <v>0</v>
      </c>
      <c r="W48" s="13">
        <f>TRANSICAO!$W$48*CUSTOS!$T$3</f>
        <v>0</v>
      </c>
      <c r="X48" s="13">
        <f>TRANSICAO!$X$48*CUSTOS!$T$3</f>
        <v>0</v>
      </c>
      <c r="Y48" s="13">
        <f>TRANSICAO!$Y$48*CUSTOS!$T$3</f>
        <v>137.0754</v>
      </c>
      <c r="Z48" s="13">
        <f>TRANSICAO!$Z$48*CUSTOS!$T$3</f>
        <v>0</v>
      </c>
      <c r="AA48" s="13">
        <f>TRANSICAO!$AA$48*CUSTOS!$T$3</f>
        <v>0</v>
      </c>
      <c r="AB48" s="13">
        <f>TRANSICAO!$AB$48*CUSTOS!$T$3</f>
        <v>0</v>
      </c>
      <c r="AC48" s="13">
        <f>TRANSICAO!$AC$48*CUSTOS!$T$3</f>
        <v>445.28059999999999</v>
      </c>
      <c r="AD48" s="13">
        <f>TRANSICAO!$AD$48*CUSTOS!$T$3</f>
        <v>0</v>
      </c>
      <c r="AE48" s="13">
        <v>0</v>
      </c>
      <c r="AF48" s="13">
        <v>0</v>
      </c>
      <c r="AG48" s="13"/>
      <c r="AH48" s="13">
        <f>(1 - CUSTOS!$M$31)*18.1524</f>
        <v>18.1524</v>
      </c>
      <c r="AI48" s="13">
        <v>0</v>
      </c>
      <c r="AJ48" s="13">
        <f ca="1">$N$64*(1-CUSTOS!$M$31)</f>
        <v>0</v>
      </c>
      <c r="AK48" s="13">
        <f t="shared" ca="1" si="0"/>
        <v>0</v>
      </c>
      <c r="AL48" s="13"/>
      <c r="AM48" s="13"/>
      <c r="AP48" s="13">
        <f>IF((1 - CUSTOS!$M$31)&lt;&gt;0,1/(1 - CUSTOS!$M$31),1)</f>
        <v>1</v>
      </c>
    </row>
    <row r="49" spans="1:42" ht="11.25" customHeight="1" x14ac:dyDescent="0.25">
      <c r="A49" s="103"/>
      <c r="B49" s="23" t="s">
        <v>78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67</v>
      </c>
      <c r="H49" s="24" t="s">
        <v>60</v>
      </c>
      <c r="I49" s="24">
        <f>'MERCADO TUSD'!$U$46</f>
        <v>0</v>
      </c>
      <c r="J49" s="15"/>
      <c r="L49" s="13">
        <f>1*(1 - CUSTOS!$M$31)</f>
        <v>1</v>
      </c>
      <c r="M4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2.2830958348558199</v>
      </c>
      <c r="N49" s="13">
        <f ca="1">(+M49+O49+R49+U49+V49+W49+X49+Y49+Z49+AA49+AC49+AH49+AI49+AJ49+AK49)*CUSTOS!$M$5</f>
        <v>6.0479149583485581E-12</v>
      </c>
      <c r="O49" s="13">
        <f>1 - CUSTOS!$M$31</f>
        <v>1</v>
      </c>
      <c r="P49" s="13">
        <f>1 - CUSTOS!$M$31</f>
        <v>1</v>
      </c>
      <c r="Q49" s="13">
        <f>1*(1 - CUSTOS!$M$31)</f>
        <v>1</v>
      </c>
      <c r="R49" s="13">
        <f>1 - CUSTOS!$M$31</f>
        <v>1</v>
      </c>
      <c r="S49" s="13">
        <f>1 - CUSTOS!$M$31</f>
        <v>1</v>
      </c>
      <c r="T49" s="13"/>
      <c r="U49" s="13">
        <f>TRANSICAO!$U$49*CUSTOS!$T$3</f>
        <v>0</v>
      </c>
      <c r="V49" s="13">
        <f>TRANSICAO!$V$49*CUSTOS!$T$3</f>
        <v>0</v>
      </c>
      <c r="W49" s="13">
        <f>TRANSICAO!$W$49*CUSTOS!$T$3</f>
        <v>0</v>
      </c>
      <c r="X49" s="13">
        <f>TRANSICAO!$X$49*CUSTOS!$T$3</f>
        <v>0</v>
      </c>
      <c r="Y49" s="13">
        <f>TRANSICAO!$Y$49*CUSTOS!$T$3</f>
        <v>137.0754</v>
      </c>
      <c r="Z49" s="13">
        <f>TRANSICAO!$Z$49*CUSTOS!$T$3</f>
        <v>0</v>
      </c>
      <c r="AA49" s="13">
        <f>TRANSICAO!$AA$49*CUSTOS!$T$3</f>
        <v>0</v>
      </c>
      <c r="AB49" s="13">
        <f>TRANSICAO!$AB$49*CUSTOS!$T$3</f>
        <v>0</v>
      </c>
      <c r="AC49" s="13">
        <f>TRANSICAO!$AC$49*CUSTOS!$T$3</f>
        <v>445.28059999999999</v>
      </c>
      <c r="AD49" s="13">
        <f>TRANSICAO!$AD$49*CUSTOS!$T$3</f>
        <v>0</v>
      </c>
      <c r="AE49" s="13">
        <v>0</v>
      </c>
      <c r="AF49" s="13">
        <v>0</v>
      </c>
      <c r="AG49" s="13"/>
      <c r="AH49" s="13">
        <f>(1 - CUSTOS!$M$31)*18.1524</f>
        <v>18.1524</v>
      </c>
      <c r="AI49" s="13">
        <v>0</v>
      </c>
      <c r="AJ49" s="13">
        <f ca="1">$N$64*(1-CUSTOS!$M$31)</f>
        <v>0</v>
      </c>
      <c r="AK49" s="13">
        <f t="shared" ca="1" si="0"/>
        <v>0</v>
      </c>
      <c r="AL49" s="13"/>
      <c r="AM49" s="13"/>
      <c r="AP49" s="13">
        <f>IF((1 - CUSTOS!$M$31)&lt;&gt;0,1/(1 - CUSTOS!$M$31),1)</f>
        <v>1</v>
      </c>
    </row>
    <row r="50" spans="1:42" ht="11.25" customHeight="1" x14ac:dyDescent="0.25">
      <c r="A50" s="103" t="s">
        <v>34</v>
      </c>
      <c r="B50" s="103" t="s">
        <v>23</v>
      </c>
      <c r="C50" s="103" t="s">
        <v>35</v>
      </c>
      <c r="D50" s="23" t="s">
        <v>36</v>
      </c>
      <c r="E50" s="23" t="s">
        <v>25</v>
      </c>
      <c r="F50" s="23" t="s">
        <v>25</v>
      </c>
      <c r="G50" s="24" t="s">
        <v>67</v>
      </c>
      <c r="H50" s="24" t="s">
        <v>60</v>
      </c>
      <c r="I50" s="24">
        <f>'MERCADO TUSD'!$U$47</f>
        <v>274.32500000000005</v>
      </c>
      <c r="J50" s="15"/>
      <c r="L50" s="13">
        <f>1*(1 - CUSTOS!$M$32)</f>
        <v>0.55000000000000004</v>
      </c>
      <c r="M5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CUSTOS!$M$32)</f>
        <v>1.2557027091707011</v>
      </c>
      <c r="N50" s="13">
        <f ca="1">(+M50+O50+R50+U50+V50+W50+X50+Y50+Z50+AA50+AC50+AH50+AI50+AJ50+AK50)*CUSTOS!$M$5</f>
        <v>3.3263532270917068E-12</v>
      </c>
      <c r="O50" s="13">
        <f>1 - CUSTOS!$M$32</f>
        <v>0.55000000000000004</v>
      </c>
      <c r="P50" s="13">
        <f>1 - CUSTOS!$M$32</f>
        <v>0.55000000000000004</v>
      </c>
      <c r="Q50" s="13">
        <f>1*(1 - CUSTOS!$M$32)</f>
        <v>0.55000000000000004</v>
      </c>
      <c r="R50" s="13">
        <f>1 - CUSTOS!$M$32</f>
        <v>0.55000000000000004</v>
      </c>
      <c r="S50" s="13">
        <f>1 - CUSTOS!$M$32</f>
        <v>0.55000000000000004</v>
      </c>
      <c r="T50" s="13"/>
      <c r="U50" s="13">
        <f>TRANSICAO!$U$50*CUSTOS!$T$3</f>
        <v>0</v>
      </c>
      <c r="V50" s="13">
        <f>TRANSICAO!$V$50*CUSTOS!$T$3</f>
        <v>0</v>
      </c>
      <c r="W50" s="13">
        <f>TRANSICAO!$W$50*CUSTOS!$T$3</f>
        <v>0</v>
      </c>
      <c r="X50" s="13">
        <f>TRANSICAO!$X$50*CUSTOS!$T$3</f>
        <v>0</v>
      </c>
      <c r="Y50" s="13">
        <f>TRANSICAO!$Y$50*CUSTOS!$T$3</f>
        <v>75.391470000000012</v>
      </c>
      <c r="Z50" s="13">
        <f>TRANSICAO!$Z$50*CUSTOS!$T$3</f>
        <v>0</v>
      </c>
      <c r="AA50" s="13">
        <f>TRANSICAO!$AA$50*CUSTOS!$T$3</f>
        <v>0</v>
      </c>
      <c r="AB50" s="13">
        <f>TRANSICAO!$AB$50*CUSTOS!$T$3</f>
        <v>0</v>
      </c>
      <c r="AC50" s="13">
        <f>TRANSICAO!$AC$50*CUSTOS!$T$3</f>
        <v>244.90433000000002</v>
      </c>
      <c r="AD50" s="13">
        <f>TRANSICAO!$AD$50*CUSTOS!$T$3</f>
        <v>0</v>
      </c>
      <c r="AE50" s="13">
        <v>0</v>
      </c>
      <c r="AF50" s="13">
        <v>0</v>
      </c>
      <c r="AG50" s="13"/>
      <c r="AH50" s="13">
        <f>(1 - CUSTOS!$M$32)*18.1524</f>
        <v>9.9838200000000015</v>
      </c>
      <c r="AI50" s="13">
        <v>0</v>
      </c>
      <c r="AJ50" s="13">
        <f ca="1">$N$64*(1-CUSTOS!$M$32)</f>
        <v>0</v>
      </c>
      <c r="AK50" s="13">
        <f t="shared" ca="1" si="0"/>
        <v>0</v>
      </c>
      <c r="AL50" s="13"/>
      <c r="AM50" s="13"/>
      <c r="AP50" s="13">
        <f>IF((1 - CUSTOS!$M$32)&lt;&gt;0,1/(1 - CUSTOS!$M$32),1)</f>
        <v>1.8181818181818181</v>
      </c>
    </row>
    <row r="51" spans="1:42" ht="11.25" customHeight="1" x14ac:dyDescent="0.25">
      <c r="A51" s="103"/>
      <c r="B51" s="103"/>
      <c r="C51" s="103"/>
      <c r="D51" s="24" t="s">
        <v>81</v>
      </c>
      <c r="E51" s="24" t="s">
        <v>25</v>
      </c>
      <c r="F51" s="24" t="s">
        <v>25</v>
      </c>
      <c r="G51" s="24" t="s">
        <v>67</v>
      </c>
      <c r="H51" s="24" t="s">
        <v>60</v>
      </c>
      <c r="I51" s="24">
        <f>'MERCADO TUSD'!$U$48</f>
        <v>0</v>
      </c>
      <c r="J51" s="15"/>
      <c r="L51" s="13">
        <f>1*(1 - CUSTOS!$M$33)</f>
        <v>0.6</v>
      </c>
      <c r="M5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CUSTOS!$M$33)</f>
        <v>1.3698575009134919</v>
      </c>
      <c r="N51" s="13">
        <f ca="1">(+M51+O51+R51+U51+V51+W51+X51+Y51+Z51+AA51+AC51+AH51+AI51+AJ51+AK51)*CUSTOS!$M$5</f>
        <v>3.6287489750091346E-12</v>
      </c>
      <c r="O51" s="13">
        <f>1 - CUSTOS!$M$33</f>
        <v>0.6</v>
      </c>
      <c r="P51" s="13">
        <f>1 - CUSTOS!$M$33</f>
        <v>0.6</v>
      </c>
      <c r="Q51" s="13">
        <f>1*(1 - CUSTOS!$M$33)</f>
        <v>0.6</v>
      </c>
      <c r="R51" s="13">
        <f>1 - CUSTOS!$M$33</f>
        <v>0.6</v>
      </c>
      <c r="S51" s="13">
        <f>1 - CUSTOS!$M$33</f>
        <v>0.6</v>
      </c>
      <c r="T51" s="13"/>
      <c r="U51" s="13">
        <f>TRANSICAO!$U$51*CUSTOS!$T$3</f>
        <v>0</v>
      </c>
      <c r="V51" s="13">
        <f>TRANSICAO!$V$51*CUSTOS!$T$3</f>
        <v>0</v>
      </c>
      <c r="W51" s="13">
        <f>TRANSICAO!$W$51*CUSTOS!$T$3</f>
        <v>0</v>
      </c>
      <c r="X51" s="13">
        <f>TRANSICAO!$X$51*CUSTOS!$T$3</f>
        <v>0</v>
      </c>
      <c r="Y51" s="13">
        <f>TRANSICAO!$Y$51*CUSTOS!$T$3</f>
        <v>82.245239999999995</v>
      </c>
      <c r="Z51" s="13">
        <f>TRANSICAO!$Z$51*CUSTOS!$T$3</f>
        <v>0</v>
      </c>
      <c r="AA51" s="13">
        <f>TRANSICAO!$AA$51*CUSTOS!$T$3</f>
        <v>0</v>
      </c>
      <c r="AB51" s="13">
        <f>TRANSICAO!$AB$51*CUSTOS!$T$3</f>
        <v>0</v>
      </c>
      <c r="AC51" s="13">
        <f>TRANSICAO!$AC$51*CUSTOS!$T$3</f>
        <v>267.16836000000001</v>
      </c>
      <c r="AD51" s="13">
        <f>TRANSICAO!$AD$51*CUSTOS!$T$3</f>
        <v>0</v>
      </c>
      <c r="AE51" s="13">
        <v>0</v>
      </c>
      <c r="AF51" s="13">
        <v>0</v>
      </c>
      <c r="AG51" s="13"/>
      <c r="AH51" s="13">
        <f>(1 - CUSTOS!$M$33)*18.1524</f>
        <v>10.891439999999999</v>
      </c>
      <c r="AI51" s="13">
        <v>0</v>
      </c>
      <c r="AJ51" s="13">
        <f ca="1">$N$64*(1-CUSTOS!$M$33)</f>
        <v>0</v>
      </c>
      <c r="AK51" s="13">
        <f t="shared" ca="1" si="0"/>
        <v>0</v>
      </c>
      <c r="AL51" s="13"/>
      <c r="AM51" s="13"/>
      <c r="AP51" s="13">
        <f>IF((1 - CUSTOS!$M$33)&lt;&gt;0,1/(1 - CUSTOS!$M$33),1)</f>
        <v>1.6666666666666667</v>
      </c>
    </row>
    <row r="53" spans="1:42" ht="11.25" customHeight="1" x14ac:dyDescent="0.25">
      <c r="K53" s="16" t="s">
        <v>368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42" ht="11.25" customHeight="1" x14ac:dyDescent="0.25">
      <c r="K54" s="16" t="s">
        <v>369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42" ht="11.25" customHeight="1" x14ac:dyDescent="0.25">
      <c r="K55" s="16" t="s">
        <v>370</v>
      </c>
      <c r="L55" s="13">
        <f>IF(ISERROR(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,0,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</f>
        <v>13087.2287500252</v>
      </c>
      <c r="M55" s="13">
        <f>IF(ISERROR(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,0,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</f>
        <v>30259.742950523374</v>
      </c>
      <c r="N55" s="13">
        <f ca="1">IF(ISERROR(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,0,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</f>
        <v>8.0156314849921641E-8</v>
      </c>
      <c r="O55" s="13">
        <f>IF(ISERROR(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,0,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</f>
        <v>13253.82075006</v>
      </c>
      <c r="P55" s="13">
        <f>IF(ISERROR(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,0,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</f>
        <v>13087.228750030001</v>
      </c>
      <c r="Q55" s="13">
        <f>IF(ISERROR(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,0,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</f>
        <v>13087.2287500252</v>
      </c>
      <c r="R55" s="13">
        <f>IF(ISERROR(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,0,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</f>
        <v>13087.228750030001</v>
      </c>
      <c r="S55" s="13">
        <f>IF(ISERROR(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,0,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</f>
        <v>13253.820750030001</v>
      </c>
      <c r="T55" s="13"/>
      <c r="U55" s="13">
        <f>IF(ISERROR(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,0,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</f>
        <v>0</v>
      </c>
      <c r="V55" s="13">
        <f>IF(ISERROR(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,0,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</f>
        <v>0</v>
      </c>
      <c r="W55" s="13">
        <f>IF(ISERROR(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,0,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</f>
        <v>0</v>
      </c>
      <c r="X55" s="13">
        <f>IF(ISERROR(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,0,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</f>
        <v>0</v>
      </c>
      <c r="Y55" s="13">
        <f>IF(ISERROR(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,0,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</f>
        <v>1816772.7808555376</v>
      </c>
      <c r="Z55" s="13">
        <f>IF(ISERROR(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,0,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</f>
        <v>0</v>
      </c>
      <c r="AA55" s="13">
        <f>IF(ISERROR(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,0,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</f>
        <v>0</v>
      </c>
      <c r="AB55" s="13"/>
      <c r="AC55" s="13">
        <f>IF(ISERROR(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,0,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</f>
        <v>5901669.2559061395</v>
      </c>
      <c r="AD55" s="13"/>
      <c r="AE55" s="13">
        <f>IF(ISERROR(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,0,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</f>
        <v>0</v>
      </c>
      <c r="AF55" s="13">
        <f>IF(ISERROR(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,0,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</f>
        <v>0</v>
      </c>
      <c r="AG55" s="13"/>
      <c r="AH55" s="13">
        <f>IF(ISERROR(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,0,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</f>
        <v>240588.65578272051</v>
      </c>
      <c r="AI55" s="13">
        <f>IF(ISERROR(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,0,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</f>
        <v>1.4016999999999999E-7</v>
      </c>
      <c r="AJ55" s="13">
        <f ca="1">IF(ISERROR(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,0,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</f>
        <v>0</v>
      </c>
      <c r="AK55" s="13">
        <f ca="1">IF(ISERROR(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,0,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</f>
        <v>0</v>
      </c>
      <c r="AL55" s="13"/>
      <c r="AM55" s="13"/>
    </row>
    <row r="56" spans="1:42" ht="11.25" customHeight="1" x14ac:dyDescent="0.25">
      <c r="K56" s="16" t="s">
        <v>305</v>
      </c>
      <c r="L56" s="13">
        <f>CUSTOS!$D$2</f>
        <v>415113.20676963858</v>
      </c>
      <c r="M56" s="13">
        <f>CUSTOS!$D$3</f>
        <v>30541.582569726626</v>
      </c>
      <c r="N56" s="13">
        <f>CUSTOS!$D$4</f>
        <v>0</v>
      </c>
      <c r="O56" s="13">
        <f>CUSTOS!$D$5</f>
        <v>0</v>
      </c>
      <c r="P56" s="13">
        <f>CUSTOS!$D$6</f>
        <v>0</v>
      </c>
      <c r="Q56" s="13">
        <f>CUSTOS!$D$7</f>
        <v>1180373.81125</v>
      </c>
      <c r="R56" s="13">
        <f>CUSTOS!$D$8</f>
        <v>186666.83775000004</v>
      </c>
      <c r="S56" s="13">
        <f>CUSTOS!$D$9</f>
        <v>0</v>
      </c>
      <c r="T56" s="13">
        <f>CUSTOS!$D$10</f>
        <v>1812695.4383393652</v>
      </c>
      <c r="U56" s="13">
        <f>CUSTOS!$D$11</f>
        <v>0</v>
      </c>
      <c r="V56" s="13">
        <f>IF(SUM(V53:V55)&lt;&gt;0,CUSTOS!$D$12+CUSTOS!$D$16+CUSTOS!$D$17-'TR TUSD'!$Z$54-'TR TUSD'!$AA$54,0)</f>
        <v>0</v>
      </c>
      <c r="W56" s="13">
        <f>CUSTOS!$D$13</f>
        <v>0</v>
      </c>
      <c r="X56" s="13">
        <f>CUSTOS!$D$14</f>
        <v>0</v>
      </c>
      <c r="Y56" s="13">
        <f>IF(SUM(V53:V55)=0,CUSTOS!$D$15+CUSTOS!$D$16+CUSTOS!$D$17-'TR TUSD'!$Z$54-'TR TUSD'!$AA$54,CUSTOS!$D$15)</f>
        <v>2115567.6166000003</v>
      </c>
      <c r="Z56" s="13">
        <f>Z54</f>
        <v>0</v>
      </c>
      <c r="AA56" s="13">
        <f>AA54</f>
        <v>0</v>
      </c>
      <c r="AB56" s="13">
        <f>CUSTOS!$D$18</f>
        <v>2115567.6166000003</v>
      </c>
      <c r="AC56" s="13">
        <f>CUSTOS!$D$19</f>
        <v>6595000</v>
      </c>
      <c r="AD56" s="13">
        <f>CUSTOS!$D$20</f>
        <v>6595000</v>
      </c>
      <c r="AE56" s="13">
        <f>CUSTOS!$D$21</f>
        <v>0</v>
      </c>
      <c r="AF56" s="13">
        <f>CUSTOS!$D$22</f>
        <v>0</v>
      </c>
      <c r="AG56" s="13">
        <f>CUSTOS!$D$23</f>
        <v>0</v>
      </c>
      <c r="AH56" s="13">
        <f>CUSTOS!$D$24</f>
        <v>173761.76586040409</v>
      </c>
      <c r="AI56" s="13">
        <f>CUSTOS!$D$25</f>
        <v>0</v>
      </c>
      <c r="AJ56" s="13">
        <f>CUSTOS!$D$26</f>
        <v>0</v>
      </c>
      <c r="AK56" s="13">
        <f>CUSTOS!$D$27</f>
        <v>0</v>
      </c>
      <c r="AL56" s="13">
        <f>CUSTOS!$D$28</f>
        <v>173761.76586040409</v>
      </c>
      <c r="AM56" s="13">
        <f>CUSTOS!$D$29</f>
        <v>10697024.82079977</v>
      </c>
    </row>
    <row r="57" spans="1:42" ht="11.25" customHeight="1" x14ac:dyDescent="0.25">
      <c r="K57" s="16" t="s">
        <v>306</v>
      </c>
      <c r="L57" s="13">
        <f>CUSTOS!$E$2</f>
        <v>-9143.4708291486622</v>
      </c>
      <c r="M57" s="13">
        <f>CUSTOS!$E$3</f>
        <v>-874.8829567243414</v>
      </c>
      <c r="N57" s="13">
        <f>CUSTOS!$E$4</f>
        <v>0</v>
      </c>
      <c r="O57" s="13">
        <f>CUSTOS!$E$5</f>
        <v>0</v>
      </c>
      <c r="P57" s="13">
        <f>CUSTOS!$E$6</f>
        <v>0</v>
      </c>
      <c r="Q57" s="13">
        <f>CUSTOS!$E$7</f>
        <v>-17173.440985587797</v>
      </c>
      <c r="R57" s="13">
        <f>CUSTOS!$E$8</f>
        <v>-2656.0980747707695</v>
      </c>
      <c r="S57" s="13">
        <f>CUSTOS!$E$9</f>
        <v>0</v>
      </c>
      <c r="T57" s="13">
        <f>CUSTOS!$E$10</f>
        <v>-29847.892846231571</v>
      </c>
      <c r="U57" s="13">
        <f>CUSTOS!$E$11</f>
        <v>0</v>
      </c>
      <c r="V57" s="13">
        <f>CUSTOS!$E$12</f>
        <v>0</v>
      </c>
      <c r="W57" s="13">
        <f>CUSTOS!$E$13</f>
        <v>0</v>
      </c>
      <c r="X57" s="13">
        <f>CUSTOS!$E$14</f>
        <v>0</v>
      </c>
      <c r="Y57" s="13">
        <f>CUSTOS!$E$15</f>
        <v>-36992.214810574027</v>
      </c>
      <c r="Z57" s="13">
        <f>CUSTOS!$E$16</f>
        <v>0</v>
      </c>
      <c r="AA57" s="13">
        <f>CUSTOS!$E$17</f>
        <v>0</v>
      </c>
      <c r="AB57" s="13">
        <f>CUSTOS!$E$18</f>
        <v>-36992.214810574027</v>
      </c>
      <c r="AC57" s="13">
        <f>CUSTOS!$E$19</f>
        <v>-4201742.6235143151</v>
      </c>
      <c r="AD57" s="13">
        <f>CUSTOS!$E$20</f>
        <v>-4201742.6235143151</v>
      </c>
      <c r="AE57" s="13">
        <f>CUSTOS!$E$21</f>
        <v>0</v>
      </c>
      <c r="AF57" s="13">
        <f>CUSTOS!$E$22</f>
        <v>0</v>
      </c>
      <c r="AG57" s="13">
        <f>CUSTOS!$E$23</f>
        <v>0</v>
      </c>
      <c r="AH57" s="13">
        <f>CUSTOS!$E$24</f>
        <v>-8187.4636096936792</v>
      </c>
      <c r="AI57" s="13">
        <f>CUSTOS!$E$25</f>
        <v>0</v>
      </c>
      <c r="AJ57" s="13">
        <f>CUSTOS!$E$26</f>
        <v>0</v>
      </c>
      <c r="AK57" s="13">
        <f>CUSTOS!$E$27</f>
        <v>0</v>
      </c>
      <c r="AL57" s="13">
        <f>CUSTOS!$E$28</f>
        <v>-8187.4636096936792</v>
      </c>
      <c r="AM57" s="13">
        <f>CUSTOS!$E$29</f>
        <v>-4276770.1947808145</v>
      </c>
    </row>
    <row r="58" spans="1:42" ht="11.25" customHeight="1" x14ac:dyDescent="0.25">
      <c r="K58" s="16" t="s">
        <v>307</v>
      </c>
      <c r="L58" s="13">
        <f>CUSTOS!$F$2</f>
        <v>0</v>
      </c>
      <c r="M58" s="13">
        <f>CUSTOS!$F$3</f>
        <v>0</v>
      </c>
      <c r="N58" s="13">
        <f>CUSTOS!$F$4</f>
        <v>0</v>
      </c>
      <c r="O58" s="13">
        <f>CUSTOS!$F$5</f>
        <v>0</v>
      </c>
      <c r="P58" s="13">
        <f>CUSTOS!$F$6</f>
        <v>0</v>
      </c>
      <c r="Q58" s="13">
        <f>CUSTOS!$F$7</f>
        <v>0</v>
      </c>
      <c r="R58" s="13">
        <f>CUSTOS!$F$8</f>
        <v>0</v>
      </c>
      <c r="S58" s="13">
        <f>CUSTOS!$F$9</f>
        <v>0</v>
      </c>
      <c r="T58" s="13">
        <f>CUSTOS!$F$10</f>
        <v>0</v>
      </c>
      <c r="U58" s="13">
        <f>CUSTOS!$F$11</f>
        <v>0</v>
      </c>
      <c r="V58" s="13">
        <f>CUSTOS!$F$12</f>
        <v>0</v>
      </c>
      <c r="W58" s="13">
        <f>CUSTOS!$F$13</f>
        <v>0</v>
      </c>
      <c r="X58" s="13">
        <f>CUSTOS!$F$14</f>
        <v>0</v>
      </c>
      <c r="Y58" s="13">
        <f>CUSTOS!$F$15</f>
        <v>0</v>
      </c>
      <c r="Z58" s="13">
        <f>CUSTOS!$F$16</f>
        <v>0</v>
      </c>
      <c r="AA58" s="13">
        <f>CUSTOS!$F$17</f>
        <v>0</v>
      </c>
      <c r="AB58" s="13">
        <f>CUSTOS!$F$18</f>
        <v>0</v>
      </c>
      <c r="AC58" s="13">
        <f>CUSTOS!$F$19</f>
        <v>0</v>
      </c>
      <c r="AD58" s="13">
        <f>CUSTOS!$F$20</f>
        <v>0</v>
      </c>
      <c r="AE58" s="13">
        <f>CUSTOS!$F$21</f>
        <v>0</v>
      </c>
      <c r="AF58" s="13">
        <f>CUSTOS!$F$22</f>
        <v>0</v>
      </c>
      <c r="AG58" s="13">
        <f>CUSTOS!$F$23</f>
        <v>0</v>
      </c>
      <c r="AH58" s="13">
        <f>CUSTOS!$F$24</f>
        <v>0</v>
      </c>
      <c r="AI58" s="13">
        <f>CUSTOS!$F$25</f>
        <v>0</v>
      </c>
      <c r="AJ58" s="13">
        <f>CUSTOS!$F$26</f>
        <v>0</v>
      </c>
      <c r="AK58" s="13">
        <f>CUSTOS!$F$27</f>
        <v>0</v>
      </c>
      <c r="AL58" s="13">
        <f>CUSTOS!$F$28</f>
        <v>0</v>
      </c>
      <c r="AM58" s="13">
        <f>CUSTOS!$F$29</f>
        <v>0</v>
      </c>
    </row>
    <row r="59" spans="1:42" ht="11.25" customHeight="1" x14ac:dyDescent="0.25">
      <c r="K59" s="16" t="s">
        <v>371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/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/>
      <c r="AC59" s="13">
        <v>0</v>
      </c>
      <c r="AD59" s="13"/>
      <c r="AE59" s="13">
        <v>0</v>
      </c>
      <c r="AF59" s="13">
        <v>0</v>
      </c>
      <c r="AG59" s="13"/>
      <c r="AH59" s="13">
        <v>0</v>
      </c>
      <c r="AI59" s="13">
        <v>0</v>
      </c>
      <c r="AJ59" s="13">
        <v>0</v>
      </c>
      <c r="AK59" s="13">
        <v>0</v>
      </c>
      <c r="AL59" s="13"/>
      <c r="AM59" s="13"/>
    </row>
    <row r="60" spans="1:42" ht="11.25" customHeight="1" x14ac:dyDescent="0.25">
      <c r="K60" s="16" t="s">
        <v>372</v>
      </c>
      <c r="L60" s="13">
        <f t="shared" ref="L60:S60" si="1">IF((L55+L53)&lt;&gt;0,(L56-L54-L59)/(L55+L53),0)</f>
        <v>31.718954004593161</v>
      </c>
      <c r="M60" s="13">
        <f t="shared" si="1"/>
        <v>1.009314012338574</v>
      </c>
      <c r="N60" s="13">
        <f t="shared" ca="1" si="1"/>
        <v>0</v>
      </c>
      <c r="O60" s="13">
        <f t="shared" si="1"/>
        <v>0</v>
      </c>
      <c r="P60" s="13">
        <f t="shared" si="1"/>
        <v>0</v>
      </c>
      <c r="Q60" s="13">
        <f t="shared" si="1"/>
        <v>90.192800461879841</v>
      </c>
      <c r="R60" s="13">
        <f t="shared" si="1"/>
        <v>14.263282266658029</v>
      </c>
      <c r="S60" s="13">
        <f t="shared" si="1"/>
        <v>0</v>
      </c>
      <c r="T60" s="13"/>
      <c r="U60" s="13">
        <f>IF(U55&lt;&gt;0,(U56-U54-U53-U59)/U55,0)</f>
        <v>0</v>
      </c>
      <c r="V60" s="13">
        <f>IF(V55&lt;&gt;0,(V56-V54-V53-V59)/V55,0)</f>
        <v>0</v>
      </c>
      <c r="W60" s="13">
        <f>IF(W55&lt;&gt;0,(W56-W54-W53-W59)/W55,0)</f>
        <v>0</v>
      </c>
      <c r="X60" s="13">
        <f>IF(X55&lt;&gt;0,(X56-X54-X53-X59)/X55,0)</f>
        <v>0</v>
      </c>
      <c r="Y60" s="13">
        <f>IF(Y55&lt;&gt;0,(Y56-Y54-Y53-Y59)/Y55,0)</f>
        <v>1.1644646148891316</v>
      </c>
      <c r="Z60" s="13"/>
      <c r="AA60" s="13"/>
      <c r="AB60" s="13"/>
      <c r="AC60" s="13">
        <f>IF(AC55&lt;&gt;0,(AC56-AC54-AC53-AC59)/AC55,0)</f>
        <v>1.1174804473158173</v>
      </c>
      <c r="AD60" s="13"/>
      <c r="AE60" s="13">
        <f>IF((AE55+AE53)&lt;&gt;0,(AE56-AE54-AE59)/(AE55+AE53),0)</f>
        <v>0</v>
      </c>
      <c r="AF60" s="13">
        <f>IF((AF55+AF53)&lt;&gt;0,(AF56-AF54-AF59)/(AF55+AF53),0)</f>
        <v>0</v>
      </c>
      <c r="AG60" s="13"/>
      <c r="AH60" s="13">
        <f>IF(AH55&lt;&gt;0,(AH56-AH54-AH53-AH59)/AH55,0)</f>
        <v>0.72223590632357637</v>
      </c>
      <c r="AI60" s="13">
        <f>IF(AI55&lt;&gt;0,(AI56-AI54-AI53-AI59)/AI55,0)</f>
        <v>0</v>
      </c>
      <c r="AJ60" s="13">
        <f ca="1">IF((AJ55+AJ53)&lt;&gt;0,(AJ56-AJ54-AJ59)/(AJ55+AJ53),0)</f>
        <v>0</v>
      </c>
      <c r="AK60" s="13">
        <f ca="1">IF((AK55+AK53)&lt;&gt;0,(AK56-AK54-AK59)/(AK55+AK53),0)</f>
        <v>0</v>
      </c>
      <c r="AL60" s="13"/>
      <c r="AM60" s="13"/>
    </row>
    <row r="62" spans="1:42" ht="11.25" customHeight="1" x14ac:dyDescent="0.25">
      <c r="K62" s="25" t="s">
        <v>376</v>
      </c>
      <c r="L62" s="25" t="s">
        <v>377</v>
      </c>
      <c r="M62" s="25" t="s">
        <v>378</v>
      </c>
      <c r="N62" s="25" t="s">
        <v>379</v>
      </c>
      <c r="O62" s="25" t="s">
        <v>380</v>
      </c>
      <c r="P62" s="25" t="s">
        <v>381</v>
      </c>
    </row>
    <row r="63" spans="1:42" ht="11.25" customHeight="1" x14ac:dyDescent="0.25">
      <c r="K63" s="24" t="s">
        <v>58</v>
      </c>
      <c r="L63" s="24">
        <f ca="1">+(+'TUSD BE'!$L$5+'TUSD BE'!$M$5+'TUSD BE'!$N$5+'TUSD BE'!$O$5+'TUSD BE'!$P$5+'TUSD BE'!$Q$5+'TUSD BE'!$R$5+'TUSD BE'!$S$5+'TUSD BE'!$U$5+'TUSD BE'!$V$5+'TUSD BE'!$W$5+'TUSD BE'!$X$5+'TUSD BE'!$Y$5+'TUSD BE'!$Z$5+'TUSD BE'!$AA$5+'TUSD BE'!$AC$5+'TUSD BE'!$AH$5+'TUSD BE'!$AI$5)*'TUSD BE'!$I$5+(+'TUSD BE'!$L$6+'TUSD BE'!$M$6+'TUSD BE'!$N$6+'TUSD BE'!$O$6+'TUSD BE'!$P$6+'TUSD BE'!$Q$6+'TUSD BE'!$R$6+'TUSD BE'!$S$6+'TUSD BE'!$U$6+'TUSD BE'!$V$6+'TUSD BE'!$W$6+'TUSD BE'!$X$6+'TUSD BE'!$Y$6+'TUSD BE'!$Z$6+'TUSD BE'!$AA$6+'TUSD BE'!$AC$6+'TUSD BE'!$AH$6+'TUSD BE'!$AI$6)*'TUSD BE'!$I$6+(+'TUSD BE'!$L$7+'TUSD BE'!$M$7+'TUSD BE'!$N$7+'TUSD BE'!$O$7+'TUSD BE'!$P$7+'TUSD BE'!$Q$7+'TUSD BE'!$R$7+'TUSD BE'!$S$7+'TUSD BE'!$U$7+'TUSD BE'!$V$7+'TUSD BE'!$W$7+'TUSD BE'!$X$7+'TUSD BE'!$Y$7+'TUSD BE'!$Z$7+'TUSD BE'!$AA$7+'TUSD BE'!$AC$7+'TUSD BE'!$AH$7+'TUSD BE'!$AI$7)*'TUSD BE'!$I$7+(+'TUSD BE'!$L$8+'TUSD BE'!$M$8+'TUSD BE'!$N$8+'TUSD BE'!$O$8+'TUSD BE'!$P$8+'TUSD BE'!$Q$8+'TUSD BE'!$R$8+'TUSD BE'!$S$8+'TUSD BE'!$U$8+'TUSD BE'!$V$8+'TUSD BE'!$W$8+'TUSD BE'!$X$8+'TUSD BE'!$Y$8+'TUSD BE'!$Z$8+'TUSD BE'!$AA$8+'TUSD BE'!$AC$8+'TUSD BE'!$AH$8+'TUSD BE'!$AI$8)*'TUSD BE'!$I$8+(+'TUSD BE'!$L$10+'TUSD BE'!$M$10+'TUSD BE'!$N$10+'TUSD BE'!$O$10+'TUSD BE'!$P$10+'TUSD BE'!$Q$10+'TUSD BE'!$R$10+'TUSD BE'!$S$10+'TUSD BE'!$U$10+'TUSD BE'!$V$10+'TUSD BE'!$W$10+'TUSD BE'!$X$10+'TUSD BE'!$Y$10+'TUSD BE'!$Z$10+'TUSD BE'!$AA$10+'TUSD BE'!$AC$10+'TUSD BE'!$AH$10+'TUSD BE'!$AI$10)*'TUSD BE'!$I$10+(+'TUSD BE'!$L$11+'TUSD BE'!$M$11+'TUSD BE'!$N$11+'TUSD BE'!$O$11+'TUSD BE'!$P$11+'TUSD BE'!$Q$11+'TUSD BE'!$R$11+'TUSD BE'!$S$11+'TUSD BE'!$U$11+'TUSD BE'!$V$11+'TUSD BE'!$W$11+'TUSD BE'!$X$11+'TUSD BE'!$Y$11+'TUSD BE'!$Z$11+'TUSD BE'!$AA$11+'TUSD BE'!$AC$11+'TUSD BE'!$AH$11+'TUSD BE'!$AI$11)*'TUSD BE'!$I$11+(+'TUSD BE'!$L$12+'TUSD BE'!$M$12+'TUSD BE'!$N$12+'TUSD BE'!$O$12+'TUSD BE'!$P$12+'TUSD BE'!$Q$12+'TUSD BE'!$R$12+'TUSD BE'!$S$12+'TUSD BE'!$U$12+'TUSD BE'!$V$12+'TUSD BE'!$W$12+'TUSD BE'!$X$12+'TUSD BE'!$Y$12+'TUSD BE'!$Z$12+'TUSD BE'!$AA$12+'TUSD BE'!$AC$12+'TUSD BE'!$AH$12+'TUSD BE'!$AI$12)*'TUSD BE'!$I$12+(+'TUSD BE'!$L$13+'TUSD BE'!$M$13+'TUSD BE'!$N$13+'TUSD BE'!$O$13+'TUSD BE'!$P$13+'TUSD BE'!$Q$13+'TUSD BE'!$R$13+'TUSD BE'!$S$13+'TUSD BE'!$U$13+'TUSD BE'!$V$13+'TUSD BE'!$W$13+'TUSD BE'!$X$13+'TUSD BE'!$Y$13+'TUSD BE'!$Z$13+'TUSD BE'!$AA$13+'TUSD BE'!$AC$13+'TUSD BE'!$AH$13+'TUSD BE'!$AI$13)*'TUSD BE'!$I$13+(+'TUSD BE'!$L$14+'TUSD BE'!$M$14+'TUSD BE'!$N$14+'TUSD BE'!$O$14+'TUSD BE'!$P$14+'TUSD BE'!$Q$14+'TUSD BE'!$R$14+'TUSD BE'!$S$14+'TUSD BE'!$U$14+'TUSD BE'!$V$14+'TUSD BE'!$W$14+'TUSD BE'!$X$14+'TUSD BE'!$Y$14+'TUSD BE'!$Z$14+'TUSD BE'!$AA$14+'TUSD BE'!$AC$14+'TUSD BE'!$AH$14+'TUSD BE'!$AI$14)*'TUSD BE'!$I$14</f>
        <v>8.7891267181020773E-5</v>
      </c>
      <c r="M63" s="24">
        <f>+'TUSD BE'!$I$7+'TUSD BE'!$I$8+'TUSD BE'!$I$11+'TUSD BE'!$I$12+'TUSD BE'!$I$13+'TUSD BE'!$I$14</f>
        <v>5.9999999999999995E-8</v>
      </c>
      <c r="N63" s="24">
        <f ca="1">IF(AND($L$70&lt;&gt;0,M63&lt;&gt;0),(L63/$L$70*$AJ$56)/M63,0)</f>
        <v>0</v>
      </c>
      <c r="O63" s="24"/>
      <c r="P63" s="24"/>
    </row>
    <row r="64" spans="1:42" ht="11.25" customHeight="1" x14ac:dyDescent="0.25">
      <c r="K64" s="24" t="s">
        <v>71</v>
      </c>
      <c r="L64" s="24">
        <f ca="1">+$L$65+$L$66+$L$67+$L$68+$L$69</f>
        <v>10697024.820711253</v>
      </c>
      <c r="M64" s="24">
        <f>+$M$65+$M$66+$M$67+$M$68+$M$69</f>
        <v>13377.267000000002</v>
      </c>
      <c r="N64" s="24">
        <f ca="1">IF(AND($L$70&lt;&gt;0,M64&lt;&gt;0),(L64/$L$70*$AJ$56)/M64,0)</f>
        <v>0</v>
      </c>
      <c r="O64" s="24"/>
      <c r="P64" s="24"/>
    </row>
    <row r="65" spans="11:16" ht="11.25" customHeight="1" x14ac:dyDescent="0.25">
      <c r="K65" s="24" t="s">
        <v>71</v>
      </c>
      <c r="L65" s="24"/>
      <c r="M65" s="24"/>
      <c r="N65" s="24">
        <f ca="1">IF(AND($L$70&lt;&gt;0,M65&lt;&gt;0),(L65/$L$70*$AJ$56)/M65,0)</f>
        <v>0</v>
      </c>
      <c r="O65" s="24"/>
      <c r="P65" s="24"/>
    </row>
    <row r="66" spans="11:16" ht="11.25" customHeight="1" x14ac:dyDescent="0.25">
      <c r="K66" s="24" t="s">
        <v>22</v>
      </c>
      <c r="L66" s="24">
        <f ca="1">+(+'TUSD BE'!$L$17+'TUSD BE'!$M$17+'TUSD BE'!$N$17+'TUSD BE'!$O$17+'TUSD BE'!$P$17+'TUSD BE'!$Q$17+'TUSD BE'!$R$17+'TUSD BE'!$S$17+'TUSD BE'!$U$17+'TUSD BE'!$V$17+'TUSD BE'!$W$17+'TUSD BE'!$X$17+'TUSD BE'!$Y$17+'TUSD BE'!$Z$17+'TUSD BE'!$AA$17+'TUSD BE'!$AC$17+'TUSD BE'!$AH$17+'TUSD BE'!$AI$17)*'TUSD BE'!$I$17+(+'TUSD BE'!$L$18+'TUSD BE'!$M$18+'TUSD BE'!$N$18+'TUSD BE'!$O$18+'TUSD BE'!$P$18+'TUSD BE'!$Q$18+'TUSD BE'!$R$18+'TUSD BE'!$S$18+'TUSD BE'!$U$18+'TUSD BE'!$V$18+'TUSD BE'!$W$18+'TUSD BE'!$X$18+'TUSD BE'!$Y$18+'TUSD BE'!$Z$18+'TUSD BE'!$AA$18+'TUSD BE'!$AC$18+'TUSD BE'!$AH$18+'TUSD BE'!$AI$18)*'TUSD BE'!$I$18+(+'TUSD BE'!$L$19+'TUSD BE'!$M$19+'TUSD BE'!$N$19+'TUSD BE'!$O$19+'TUSD BE'!$P$19+'TUSD BE'!$Q$19+'TUSD BE'!$R$19+'TUSD BE'!$S$19+'TUSD BE'!$U$19+'TUSD BE'!$V$19+'TUSD BE'!$W$19+'TUSD BE'!$X$19+'TUSD BE'!$Y$19+'TUSD BE'!$Z$19+'TUSD BE'!$AA$19+'TUSD BE'!$AC$19+'TUSD BE'!$AH$19+'TUSD BE'!$AI$19)*'TUSD BE'!$I$19+(+'TUSD BE'!$L$20+'TUSD BE'!$M$20+'TUSD BE'!$N$20+'TUSD BE'!$O$20+'TUSD BE'!$P$20+'TUSD BE'!$Q$20+'TUSD BE'!$R$20+'TUSD BE'!$S$20+'TUSD BE'!$U$20+'TUSD BE'!$V$20+'TUSD BE'!$W$20+'TUSD BE'!$X$20+'TUSD BE'!$Y$20+'TUSD BE'!$Z$20+'TUSD BE'!$AA$20+'TUSD BE'!$AC$20+'TUSD BE'!$AH$20+'TUSD BE'!$AI$20)*'TUSD BE'!$I$20+(+'TUSD BE'!$L$21+'TUSD BE'!$M$21+'TUSD BE'!$N$21+'TUSD BE'!$O$21+'TUSD BE'!$P$21+'TUSD BE'!$Q$21+'TUSD BE'!$R$21+'TUSD BE'!$S$21+'TUSD BE'!$U$21+'TUSD BE'!$V$21+'TUSD BE'!$W$21+'TUSD BE'!$X$21+'TUSD BE'!$Y$21+'TUSD BE'!$Z$21+'TUSD BE'!$AA$21+'TUSD BE'!$AC$21+'TUSD BE'!$AH$21+'TUSD BE'!$AI$21)*'TUSD BE'!$I$21+(+'TUSD BE'!$L$22+'TUSD BE'!$M$22+'TUSD BE'!$N$22+'TUSD BE'!$O$22+'TUSD BE'!$P$22+'TUSD BE'!$Q$22+'TUSD BE'!$R$22+'TUSD BE'!$S$22+'TUSD BE'!$U$22+'TUSD BE'!$V$22+'TUSD BE'!$W$22+'TUSD BE'!$X$22+'TUSD BE'!$Y$22+'TUSD BE'!$Z$22+'TUSD BE'!$AA$22+'TUSD BE'!$AC$22+'TUSD BE'!$AH$22+'TUSD BE'!$AI$22)*'TUSD BE'!$I$22+(+'TUSD BE'!$L$23+'TUSD BE'!$M$23+'TUSD BE'!$N$23+'TUSD BE'!$O$23+'TUSD BE'!$P$23+'TUSD BE'!$Q$23+'TUSD BE'!$R$23+'TUSD BE'!$S$23+'TUSD BE'!$U$23+'TUSD BE'!$V$23+'TUSD BE'!$W$23+'TUSD BE'!$X$23+'TUSD BE'!$Y$23+'TUSD BE'!$Z$23+'TUSD BE'!$AA$23+'TUSD BE'!$AC$23+'TUSD BE'!$AH$23+'TUSD BE'!$AI$23)*'TUSD BE'!$I$23+(+'TUSD BE'!$L$24+'TUSD BE'!$M$24+'TUSD BE'!$N$24+'TUSD BE'!$O$24+'TUSD BE'!$P$24+'TUSD BE'!$Q$24+'TUSD BE'!$R$24+'TUSD BE'!$S$24+'TUSD BE'!$U$24+'TUSD BE'!$V$24+'TUSD BE'!$W$24+'TUSD BE'!$X$24+'TUSD BE'!$Y$24+'TUSD BE'!$Z$24+'TUSD BE'!$AA$24+'TUSD BE'!$AC$24+'TUSD BE'!$AH$24+'TUSD BE'!$AI$24)*'TUSD BE'!$I$24+(+'TUSD BE'!$L$25+'TUSD BE'!$M$25+'TUSD BE'!$N$25+'TUSD BE'!$O$25+'TUSD BE'!$P$25+'TUSD BE'!$Q$25+'TUSD BE'!$R$25+'TUSD BE'!$S$25+'TUSD BE'!$U$25+'TUSD BE'!$V$25+'TUSD BE'!$W$25+'TUSD BE'!$X$25+'TUSD BE'!$Y$25+'TUSD BE'!$Z$25+'TUSD BE'!$AA$25+'TUSD BE'!$AC$25+'TUSD BE'!$AH$25+'TUSD BE'!$AI$25)*'TUSD BE'!$I$25+(+'TUSD BE'!$L$26+'TUSD BE'!$M$26+'TUSD BE'!$N$26+'TUSD BE'!$O$26+'TUSD BE'!$P$26+'TUSD BE'!$Q$26+'TUSD BE'!$R$26+'TUSD BE'!$S$26+'TUSD BE'!$U$26+'TUSD BE'!$V$26+'TUSD BE'!$W$26+'TUSD BE'!$X$26+'TUSD BE'!$Y$26+'TUSD BE'!$Z$26+'TUSD BE'!$AA$26+'TUSD BE'!$AC$26+'TUSD BE'!$AH$26+'TUSD BE'!$AI$26)*'TUSD BE'!$I$26+(+'TUSD BE'!$L$27+'TUSD BE'!$M$27+'TUSD BE'!$N$27+'TUSD BE'!$O$27+'TUSD BE'!$P$27+'TUSD BE'!$Q$27+'TUSD BE'!$R$27+'TUSD BE'!$S$27+'TUSD BE'!$U$27+'TUSD BE'!$V$27+'TUSD BE'!$W$27+'TUSD BE'!$X$27+'TUSD BE'!$Y$27+'TUSD BE'!$Z$27+'TUSD BE'!$AA$27+'TUSD BE'!$AC$27+'TUSD BE'!$AH$27+'TUSD BE'!$AI$27)*'TUSD BE'!$I$27+(+'TUSD BE'!$L$28+'TUSD BE'!$M$28+'TUSD BE'!$N$28+'TUSD BE'!$O$28+'TUSD BE'!$P$28+'TUSD BE'!$Q$28+'TUSD BE'!$R$28+'TUSD BE'!$S$28+'TUSD BE'!$U$28+'TUSD BE'!$V$28+'TUSD BE'!$W$28+'TUSD BE'!$X$28+'TUSD BE'!$Y$28+'TUSD BE'!$Z$28+'TUSD BE'!$AA$28+'TUSD BE'!$AC$28+'TUSD BE'!$AH$28+'TUSD BE'!$AI$28)*'TUSD BE'!$I$28+(+'TUSD BE'!$L$29+'TUSD BE'!$M$29+'TUSD BE'!$N$29+'TUSD BE'!$O$29+'TUSD BE'!$P$29+'TUSD BE'!$Q$29+'TUSD BE'!$R$29+'TUSD BE'!$S$29+'TUSD BE'!$U$29+'TUSD BE'!$V$29+'TUSD BE'!$W$29+'TUSD BE'!$X$29+'TUSD BE'!$Y$29+'TUSD BE'!$Z$29+'TUSD BE'!$AA$29+'TUSD BE'!$AC$29+'TUSD BE'!$AH$29+'TUSD BE'!$AI$29)*'TUSD BE'!$I$29</f>
        <v>2905939.3731985632</v>
      </c>
      <c r="M66" s="24">
        <f>+'TUSD BE'!$I$17+'TUSD BE'!$I$18+'TUSD BE'!$I$19+'TUSD BE'!$I$20+'TUSD BE'!$I$21+'TUSD BE'!$I$22+'TUSD BE'!$I$23+'TUSD BE'!$I$24+'TUSD BE'!$I$25+'TUSD BE'!$I$26+'TUSD BE'!$I$27+'TUSD BE'!$I$28+'TUSD BE'!$I$29</f>
        <v>3620.9440000000004</v>
      </c>
      <c r="N66" s="24"/>
      <c r="O66" s="24"/>
      <c r="P66" s="24"/>
    </row>
    <row r="67" spans="11:16" ht="11.25" customHeight="1" x14ac:dyDescent="0.25">
      <c r="K67" s="24" t="s">
        <v>31</v>
      </c>
      <c r="L67" s="24">
        <f ca="1">+(+'TUSD BE'!$L$30+'TUSD BE'!$M$30+'TUSD BE'!$N$30+'TUSD BE'!$O$30+'TUSD BE'!$P$30+'TUSD BE'!$Q$30+'TUSD BE'!$R$30+'TUSD BE'!$S$30+'TUSD BE'!$U$30+'TUSD BE'!$V$30+'TUSD BE'!$W$30+'TUSD BE'!$X$30+'TUSD BE'!$Y$30+'TUSD BE'!$Z$30+'TUSD BE'!$AA$30+'TUSD BE'!$AC$30+'TUSD BE'!$AH$30+'TUSD BE'!$AI$30)*'TUSD BE'!$I$30+(+'TUSD BE'!$L$31+'TUSD BE'!$M$31+'TUSD BE'!$N$31+'TUSD BE'!$O$31+'TUSD BE'!$P$31+'TUSD BE'!$Q$31+'TUSD BE'!$R$31+'TUSD BE'!$S$31+'TUSD BE'!$U$31+'TUSD BE'!$V$31+'TUSD BE'!$W$31+'TUSD BE'!$X$31+'TUSD BE'!$Y$31+'TUSD BE'!$Z$31+'TUSD BE'!$AA$31+'TUSD BE'!$AC$31+'TUSD BE'!$AH$31+'TUSD BE'!$AI$31)*'TUSD BE'!$I$31+(+'TUSD BE'!$L$32+'TUSD BE'!$M$32+'TUSD BE'!$N$32+'TUSD BE'!$O$32+'TUSD BE'!$P$32+'TUSD BE'!$Q$32+'TUSD BE'!$R$32+'TUSD BE'!$S$32+'TUSD BE'!$U$32+'TUSD BE'!$V$32+'TUSD BE'!$W$32+'TUSD BE'!$X$32+'TUSD BE'!$Y$32+'TUSD BE'!$Z$32+'TUSD BE'!$AA$32+'TUSD BE'!$AC$32+'TUSD BE'!$AH$32+'TUSD BE'!$AI$32)*'TUSD BE'!$I$32+(+'TUSD BE'!$L$33+'TUSD BE'!$M$33+'TUSD BE'!$N$33+'TUSD BE'!$O$33+'TUSD BE'!$P$33+'TUSD BE'!$Q$33+'TUSD BE'!$R$33+'TUSD BE'!$S$33+'TUSD BE'!$U$33+'TUSD BE'!$V$33+'TUSD BE'!$W$33+'TUSD BE'!$X$33+'TUSD BE'!$Y$33+'TUSD BE'!$Z$33+'TUSD BE'!$AA$33+'TUSD BE'!$AC$33+'TUSD BE'!$AH$33+'TUSD BE'!$AI$33)*'TUSD BE'!$I$33+(+'TUSD BE'!$L$34+'TUSD BE'!$M$34+'TUSD BE'!$N$34+'TUSD BE'!$O$34+'TUSD BE'!$P$34+'TUSD BE'!$Q$34+'TUSD BE'!$R$34+'TUSD BE'!$S$34+'TUSD BE'!$U$34+'TUSD BE'!$V$34+'TUSD BE'!$W$34+'TUSD BE'!$X$34+'TUSD BE'!$Y$34+'TUSD BE'!$Z$34+'TUSD BE'!$AA$34+'TUSD BE'!$AC$34+'TUSD BE'!$AH$34+'TUSD BE'!$AI$34)*'TUSD BE'!$I$34+(+'TUSD BE'!$L$35+'TUSD BE'!$M$35+'TUSD BE'!$N$35+'TUSD BE'!$O$35+'TUSD BE'!$P$35+'TUSD BE'!$Q$35+'TUSD BE'!$R$35+'TUSD BE'!$S$35+'TUSD BE'!$U$35+'TUSD BE'!$V$35+'TUSD BE'!$W$35+'TUSD BE'!$X$35+'TUSD BE'!$Y$35+'TUSD BE'!$Z$35+'TUSD BE'!$AA$35+'TUSD BE'!$AC$35+'TUSD BE'!$AH$35+'TUSD BE'!$AI$35)*'TUSD BE'!$I$35+(+'TUSD BE'!$L$36+'TUSD BE'!$M$36+'TUSD BE'!$N$36+'TUSD BE'!$O$36+'TUSD BE'!$P$36+'TUSD BE'!$Q$36+'TUSD BE'!$R$36+'TUSD BE'!$S$36+'TUSD BE'!$U$36+'TUSD BE'!$V$36+'TUSD BE'!$W$36+'TUSD BE'!$X$36+'TUSD BE'!$Y$36+'TUSD BE'!$Z$36+'TUSD BE'!$AA$36+'TUSD BE'!$AC$36+'TUSD BE'!$AH$36+'TUSD BE'!$AI$36)*'TUSD BE'!$I$36+(+'TUSD BE'!$L$37+'TUSD BE'!$M$37+'TUSD BE'!$N$37+'TUSD BE'!$O$37+'TUSD BE'!$P$37+'TUSD BE'!$Q$37+'TUSD BE'!$R$37+'TUSD BE'!$S$37+'TUSD BE'!$U$37+'TUSD BE'!$V$37+'TUSD BE'!$W$37+'TUSD BE'!$X$37+'TUSD BE'!$Y$37+'TUSD BE'!$Z$37+'TUSD BE'!$AA$37+'TUSD BE'!$AC$37+'TUSD BE'!$AH$37+'TUSD BE'!$AI$37)*'TUSD BE'!$I$37+(+'TUSD BE'!$L$38+'TUSD BE'!$M$38+'TUSD BE'!$N$38+'TUSD BE'!$O$38+'TUSD BE'!$P$38+'TUSD BE'!$Q$38+'TUSD BE'!$R$38+'TUSD BE'!$S$38+'TUSD BE'!$U$38+'TUSD BE'!$V$38+'TUSD BE'!$W$38+'TUSD BE'!$X$38+'TUSD BE'!$Y$38+'TUSD BE'!$Z$38+'TUSD BE'!$AA$38+'TUSD BE'!$AC$38+'TUSD BE'!$AH$38+'TUSD BE'!$AI$38)*'TUSD BE'!$I$38+(+'TUSD BE'!$L$39+'TUSD BE'!$M$39+'TUSD BE'!$N$39+'TUSD BE'!$O$39+'TUSD BE'!$P$39+'TUSD BE'!$Q$39+'TUSD BE'!$R$39+'TUSD BE'!$S$39+'TUSD BE'!$U$39+'TUSD BE'!$V$39+'TUSD BE'!$W$39+'TUSD BE'!$X$39+'TUSD BE'!$Y$39+'TUSD BE'!$Z$39+'TUSD BE'!$AA$39+'TUSD BE'!$AC$39+'TUSD BE'!$AH$39+'TUSD BE'!$AI$39)*'TUSD BE'!$I$39+(+'TUSD BE'!$L$40+'TUSD BE'!$M$40+'TUSD BE'!$N$40+'TUSD BE'!$O$40+'TUSD BE'!$P$40+'TUSD BE'!$Q$40+'TUSD BE'!$R$40+'TUSD BE'!$S$40+'TUSD BE'!$U$40+'TUSD BE'!$V$40+'TUSD BE'!$W$40+'TUSD BE'!$X$40+'TUSD BE'!$Y$40+'TUSD BE'!$Z$40+'TUSD BE'!$AA$40+'TUSD BE'!$AC$40+'TUSD BE'!$AH$40+'TUSD BE'!$AI$40)*'TUSD BE'!$I$40+(+'TUSD BE'!$L$41+'TUSD BE'!$M$41+'TUSD BE'!$N$41+'TUSD BE'!$O$41+'TUSD BE'!$P$41+'TUSD BE'!$Q$41+'TUSD BE'!$R$41+'TUSD BE'!$S$41+'TUSD BE'!$U$41+'TUSD BE'!$V$41+'TUSD BE'!$W$41+'TUSD BE'!$X$41+'TUSD BE'!$Y$41+'TUSD BE'!$Z$41+'TUSD BE'!$AA$41+'TUSD BE'!$AC$41+'TUSD BE'!$AH$41+'TUSD BE'!$AI$41)*'TUSD BE'!$I$41+(+'TUSD BE'!$L$42+'TUSD BE'!$M$42+'TUSD BE'!$N$42+'TUSD BE'!$O$42+'TUSD BE'!$P$42+'TUSD BE'!$Q$42+'TUSD BE'!$R$42+'TUSD BE'!$S$42+'TUSD BE'!$U$42+'TUSD BE'!$V$42+'TUSD BE'!$W$42+'TUSD BE'!$X$42+'TUSD BE'!$Y$42+'TUSD BE'!$Z$42+'TUSD BE'!$AA$42+'TUSD BE'!$AC$42+'TUSD BE'!$AH$42+'TUSD BE'!$AI$42)*'TUSD BE'!$I$42+(+'TUSD BE'!$L$43+'TUSD BE'!$M$43+'TUSD BE'!$N$43+'TUSD BE'!$O$43+'TUSD BE'!$P$43+'TUSD BE'!$Q$43+'TUSD BE'!$R$43+'TUSD BE'!$S$43+'TUSD BE'!$U$43+'TUSD BE'!$V$43+'TUSD BE'!$W$43+'TUSD BE'!$X$43+'TUSD BE'!$Y$43+'TUSD BE'!$Z$43+'TUSD BE'!$AA$43+'TUSD BE'!$AC$43+'TUSD BE'!$AH$43+'TUSD BE'!$AI$43)*'TUSD BE'!$I$43+(+'TUSD BE'!$L$44+'TUSD BE'!$M$44+'TUSD BE'!$N$44+'TUSD BE'!$O$44+'TUSD BE'!$P$44+'TUSD BE'!$Q$44+'TUSD BE'!$R$44+'TUSD BE'!$S$44+'TUSD BE'!$U$44+'TUSD BE'!$V$44+'TUSD BE'!$W$44+'TUSD BE'!$X$44+'TUSD BE'!$Y$44+'TUSD BE'!$Z$44+'TUSD BE'!$AA$44+'TUSD BE'!$AC$44+'TUSD BE'!$AH$44+'TUSD BE'!$AI$44)*'TUSD BE'!$I$44</f>
        <v>4998852.0418967437</v>
      </c>
      <c r="M67" s="24">
        <f>+'TUSD BE'!$I$30+'TUSD BE'!$I$31+'TUSD BE'!$I$32+'TUSD BE'!$I$33+'TUSD BE'!$I$34+'TUSD BE'!$I$35+'TUSD BE'!$I$36+'TUSD BE'!$I$37+'TUSD BE'!$I$38+'TUSD BE'!$I$39+'TUSD BE'!$I$40+'TUSD BE'!$I$41+'TUSD BE'!$I$42+'TUSD BE'!$I$43+'TUSD BE'!$I$44</f>
        <v>6180.567</v>
      </c>
      <c r="N67" s="24"/>
      <c r="O67" s="24"/>
      <c r="P67" s="24"/>
    </row>
    <row r="68" spans="11:16" ht="11.25" customHeight="1" x14ac:dyDescent="0.25">
      <c r="K68" s="24" t="s">
        <v>28</v>
      </c>
      <c r="L68" s="24">
        <f ca="1">+(+'TUSD BE'!$L$45+'TUSD BE'!$M$45+'TUSD BE'!$N$45+'TUSD BE'!$O$45+'TUSD BE'!$P$45+'TUSD BE'!$Q$45+'TUSD BE'!$R$45+'TUSD BE'!$S$45+'TUSD BE'!$U$45+'TUSD BE'!$V$45+'TUSD BE'!$W$45+'TUSD BE'!$X$45+'TUSD BE'!$Y$45+'TUSD BE'!$Z$45+'TUSD BE'!$AA$45+'TUSD BE'!$AC$45+'TUSD BE'!$AH$45+'TUSD BE'!$AI$45)*'TUSD BE'!$I$45+(+'TUSD BE'!$L$46+'TUSD BE'!$M$46+'TUSD BE'!$N$46+'TUSD BE'!$O$46+'TUSD BE'!$P$46+'TUSD BE'!$Q$46+'TUSD BE'!$R$46+'TUSD BE'!$S$46+'TUSD BE'!$U$46+'TUSD BE'!$V$46+'TUSD BE'!$W$46+'TUSD BE'!$X$46+'TUSD BE'!$Y$46+'TUSD BE'!$Z$46+'TUSD BE'!$AA$46+'TUSD BE'!$AC$46+'TUSD BE'!$AH$46+'TUSD BE'!$AI$46)*'TUSD BE'!$I$46+(+'TUSD BE'!$L$47+'TUSD BE'!$M$47+'TUSD BE'!$N$47+'TUSD BE'!$O$47+'TUSD BE'!$P$47+'TUSD BE'!$Q$47+'TUSD BE'!$R$47+'TUSD BE'!$S$47+'TUSD BE'!$U$47+'TUSD BE'!$V$47+'TUSD BE'!$W$47+'TUSD BE'!$X$47+'TUSD BE'!$Y$47+'TUSD BE'!$Z$47+'TUSD BE'!$AA$47+'TUSD BE'!$AC$47+'TUSD BE'!$AH$47+'TUSD BE'!$AI$47)*'TUSD BE'!$I$47+(+'TUSD BE'!$L$48+'TUSD BE'!$M$48+'TUSD BE'!$N$48+'TUSD BE'!$O$48+'TUSD BE'!$P$48+'TUSD BE'!$Q$48+'TUSD BE'!$R$48+'TUSD BE'!$S$48+'TUSD BE'!$U$48+'TUSD BE'!$V$48+'TUSD BE'!$W$48+'TUSD BE'!$X$48+'TUSD BE'!$Y$48+'TUSD BE'!$Z$48+'TUSD BE'!$AA$48+'TUSD BE'!$AC$48+'TUSD BE'!$AH$48+'TUSD BE'!$AI$48)*'TUSD BE'!$I$48+(+'TUSD BE'!$L$49+'TUSD BE'!$M$49+'TUSD BE'!$N$49+'TUSD BE'!$O$49+'TUSD BE'!$P$49+'TUSD BE'!$Q$49+'TUSD BE'!$R$49+'TUSD BE'!$S$49+'TUSD BE'!$U$49+'TUSD BE'!$V$49+'TUSD BE'!$W$49+'TUSD BE'!$X$49+'TUSD BE'!$Y$49+'TUSD BE'!$Z$49+'TUSD BE'!$AA$49+'TUSD BE'!$AC$49+'TUSD BE'!$AH$49+'TUSD BE'!$AI$49)*'TUSD BE'!$I$49</f>
        <v>2670202.4418683928</v>
      </c>
      <c r="M68" s="24">
        <f>+'TUSD BE'!$I$45+'TUSD BE'!$I$46+'TUSD BE'!$I$47+'TUSD BE'!$I$48+'TUSD BE'!$I$49</f>
        <v>3301.431</v>
      </c>
      <c r="N68" s="24"/>
      <c r="O68" s="24"/>
      <c r="P68" s="24"/>
    </row>
    <row r="69" spans="11:16" ht="11.25" customHeight="1" x14ac:dyDescent="0.25">
      <c r="K69" s="24" t="s">
        <v>34</v>
      </c>
      <c r="L69" s="24">
        <f ca="1">+(+'TUSD BE'!$L$50+'TUSD BE'!$M$50+'TUSD BE'!$N$50+'TUSD BE'!$O$50+'TUSD BE'!$P$50+'TUSD BE'!$Q$50+'TUSD BE'!$R$50+'TUSD BE'!$S$50+'TUSD BE'!$U$50+'TUSD BE'!$V$50+'TUSD BE'!$W$50+'TUSD BE'!$X$50+'TUSD BE'!$Y$50+'TUSD BE'!$Z$50+'TUSD BE'!$AA$50+'TUSD BE'!$AC$50+'TUSD BE'!$AH$50+'TUSD BE'!$AI$50)*'TUSD BE'!$I$50+(+'TUSD BE'!$L$51+'TUSD BE'!$M$51+'TUSD BE'!$N$51+'TUSD BE'!$O$51+'TUSD BE'!$P$51+'TUSD BE'!$Q$51+'TUSD BE'!$R$51+'TUSD BE'!$S$51+'TUSD BE'!$U$51+'TUSD BE'!$V$51+'TUSD BE'!$W$51+'TUSD BE'!$X$51+'TUSD BE'!$Y$51+'TUSD BE'!$Z$51+'TUSD BE'!$AA$51+'TUSD BE'!$AC$51+'TUSD BE'!$AH$51+'TUSD BE'!$AI$51)*'TUSD BE'!$I$51</f>
        <v>122030.96374755399</v>
      </c>
      <c r="M69" s="24">
        <f>+'TUSD BE'!$I$50+'TUSD BE'!$I$51</f>
        <v>274.32500000000005</v>
      </c>
      <c r="N69" s="24"/>
      <c r="O69" s="24"/>
      <c r="P69" s="24"/>
    </row>
    <row r="70" spans="11:16" ht="11.25" customHeight="1" x14ac:dyDescent="0.25">
      <c r="K70" s="24"/>
      <c r="L70" s="24">
        <f ca="1">SUM($L$63:$L$69,-$L$64)</f>
        <v>10697024.820799144</v>
      </c>
      <c r="M70" s="24">
        <f>SUM($M$63:$M$69,-$M$64)</f>
        <v>13377.267000059999</v>
      </c>
      <c r="N70" s="24"/>
      <c r="O70" s="24"/>
      <c r="P70" s="24"/>
    </row>
  </sheetData>
  <mergeCells count="73">
    <mergeCell ref="AH3:AL3"/>
    <mergeCell ref="AM3:AM4"/>
    <mergeCell ref="AP1:AP4"/>
    <mergeCell ref="G1:G4"/>
    <mergeCell ref="H1:H4"/>
    <mergeCell ref="I1:I4"/>
    <mergeCell ref="J1:J4"/>
    <mergeCell ref="L1:AM1"/>
    <mergeCell ref="L2:AM2"/>
    <mergeCell ref="L3:T3"/>
    <mergeCell ref="U3:AB3"/>
    <mergeCell ref="AC3:AD3"/>
    <mergeCell ref="AE3:AG3"/>
    <mergeCell ref="A1:A4"/>
    <mergeCell ref="B1:B4"/>
    <mergeCell ref="C1:C4"/>
    <mergeCell ref="D1:D4"/>
    <mergeCell ref="E1:E4"/>
    <mergeCell ref="F1:F4"/>
    <mergeCell ref="E45:E47"/>
    <mergeCell ref="F45:F47"/>
    <mergeCell ref="A50:A51"/>
    <mergeCell ref="B50:B51"/>
    <mergeCell ref="C50:C51"/>
    <mergeCell ref="B42:B44"/>
    <mergeCell ref="C42:C44"/>
    <mergeCell ref="A45:A49"/>
    <mergeCell ref="B45:B47"/>
    <mergeCell ref="C45:C47"/>
    <mergeCell ref="D45:D47"/>
    <mergeCell ref="F34:F36"/>
    <mergeCell ref="B38:B40"/>
    <mergeCell ref="C38:C40"/>
    <mergeCell ref="D38:D40"/>
    <mergeCell ref="E38:E40"/>
    <mergeCell ref="F38:F40"/>
    <mergeCell ref="A30:A44"/>
    <mergeCell ref="B30:B32"/>
    <mergeCell ref="C30:C32"/>
    <mergeCell ref="D30:D32"/>
    <mergeCell ref="E30:E32"/>
    <mergeCell ref="F30:F32"/>
    <mergeCell ref="B34:B36"/>
    <mergeCell ref="C34:C36"/>
    <mergeCell ref="D34:D36"/>
    <mergeCell ref="E34:E36"/>
    <mergeCell ref="F13:F14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E5:E7"/>
    <mergeCell ref="F5:F7"/>
    <mergeCell ref="B10:B14"/>
    <mergeCell ref="C10:C14"/>
    <mergeCell ref="A15:A16"/>
    <mergeCell ref="B15:B16"/>
    <mergeCell ref="C15:C16"/>
    <mergeCell ref="D15:D16"/>
    <mergeCell ref="A5:A14"/>
    <mergeCell ref="B5:B8"/>
    <mergeCell ref="C5:C8"/>
    <mergeCell ref="D5:D8"/>
    <mergeCell ref="D10:D14"/>
    <mergeCell ref="E10:E12"/>
    <mergeCell ref="F10:F12"/>
    <mergeCell ref="E13:E1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1A5F-57F1-4FF9-AE80-891EED7F1BA6}">
  <sheetPr codeName="Planilha9"/>
  <dimension ref="A1:AP58"/>
  <sheetViews>
    <sheetView showGridLines="0" topLeftCell="L35" workbookViewId="0">
      <selection activeCell="AM53" sqref="AM53"/>
    </sheetView>
  </sheetViews>
  <sheetFormatPr defaultColWidth="9.140625"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5" width="4.140625" style="9" bestFit="1" customWidth="1"/>
    <col min="16" max="16" width="4.4257812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570312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04" t="s">
        <v>49</v>
      </c>
      <c r="B1" s="104" t="s">
        <v>50</v>
      </c>
      <c r="C1" s="104" t="s">
        <v>51</v>
      </c>
      <c r="D1" s="104" t="s">
        <v>52</v>
      </c>
      <c r="E1" s="104" t="s">
        <v>53</v>
      </c>
      <c r="F1" s="104" t="s">
        <v>15</v>
      </c>
      <c r="G1" s="104" t="s">
        <v>55</v>
      </c>
      <c r="H1" s="104" t="s">
        <v>56</v>
      </c>
      <c r="I1" s="104" t="s">
        <v>365</v>
      </c>
      <c r="J1" s="96"/>
      <c r="L1" s="105" t="s">
        <v>373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P1" s="105" t="s">
        <v>367</v>
      </c>
    </row>
    <row r="2" spans="1:42" ht="11.25" customHeight="1" x14ac:dyDescent="0.25">
      <c r="A2" s="104"/>
      <c r="B2" s="104"/>
      <c r="C2" s="104"/>
      <c r="D2" s="104"/>
      <c r="E2" s="104"/>
      <c r="F2" s="104"/>
      <c r="G2" s="104"/>
      <c r="H2" s="104"/>
      <c r="I2" s="104"/>
      <c r="J2" s="96"/>
      <c r="L2" s="105" t="s">
        <v>263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P2" s="106"/>
    </row>
    <row r="3" spans="1:42" ht="11.2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96"/>
      <c r="L3" s="105" t="s">
        <v>264</v>
      </c>
      <c r="M3" s="105"/>
      <c r="N3" s="105"/>
      <c r="O3" s="105"/>
      <c r="P3" s="105"/>
      <c r="Q3" s="105"/>
      <c r="R3" s="105"/>
      <c r="S3" s="105"/>
      <c r="T3" s="105"/>
      <c r="U3" s="105" t="s">
        <v>273</v>
      </c>
      <c r="V3" s="105"/>
      <c r="W3" s="105"/>
      <c r="X3" s="105"/>
      <c r="Y3" s="105"/>
      <c r="Z3" s="105"/>
      <c r="AA3" s="105"/>
      <c r="AB3" s="105"/>
      <c r="AC3" s="105" t="s">
        <v>281</v>
      </c>
      <c r="AD3" s="105"/>
      <c r="AE3" s="105" t="s">
        <v>283</v>
      </c>
      <c r="AF3" s="105"/>
      <c r="AG3" s="105"/>
      <c r="AH3" s="105" t="s">
        <v>286</v>
      </c>
      <c r="AI3" s="105"/>
      <c r="AJ3" s="105"/>
      <c r="AK3" s="105"/>
      <c r="AL3" s="105"/>
      <c r="AM3" s="105" t="s">
        <v>272</v>
      </c>
      <c r="AP3" s="106"/>
    </row>
    <row r="4" spans="1:42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96"/>
      <c r="L4" s="10" t="s">
        <v>349</v>
      </c>
      <c r="M4" s="10" t="s">
        <v>265</v>
      </c>
      <c r="N4" s="10" t="s">
        <v>266</v>
      </c>
      <c r="O4" s="10" t="s">
        <v>267</v>
      </c>
      <c r="P4" s="10" t="s">
        <v>268</v>
      </c>
      <c r="Q4" s="10" t="s">
        <v>269</v>
      </c>
      <c r="R4" s="10" t="s">
        <v>270</v>
      </c>
      <c r="S4" s="10" t="s">
        <v>271</v>
      </c>
      <c r="T4" s="10" t="s">
        <v>272</v>
      </c>
      <c r="U4" s="10" t="s">
        <v>274</v>
      </c>
      <c r="V4" s="10" t="s">
        <v>275</v>
      </c>
      <c r="W4" s="10" t="s">
        <v>276</v>
      </c>
      <c r="X4" s="10" t="s">
        <v>277</v>
      </c>
      <c r="Y4" s="10" t="s">
        <v>278</v>
      </c>
      <c r="Z4" s="10" t="s">
        <v>279</v>
      </c>
      <c r="AA4" s="10" t="s">
        <v>280</v>
      </c>
      <c r="AB4" s="10" t="s">
        <v>272</v>
      </c>
      <c r="AC4" s="10" t="s">
        <v>282</v>
      </c>
      <c r="AD4" s="10" t="s">
        <v>272</v>
      </c>
      <c r="AE4" s="10" t="s">
        <v>284</v>
      </c>
      <c r="AF4" s="10" t="s">
        <v>285</v>
      </c>
      <c r="AG4" s="10" t="s">
        <v>272</v>
      </c>
      <c r="AH4" s="10" t="s">
        <v>287</v>
      </c>
      <c r="AI4" s="10" t="s">
        <v>288</v>
      </c>
      <c r="AJ4" s="10" t="s">
        <v>289</v>
      </c>
      <c r="AK4" s="10" t="s">
        <v>290</v>
      </c>
      <c r="AL4" s="10" t="s">
        <v>272</v>
      </c>
      <c r="AM4" s="107"/>
      <c r="AP4" s="106"/>
    </row>
    <row r="5" spans="1:42" ht="11.25" customHeight="1" x14ac:dyDescent="0.25">
      <c r="A5" s="103" t="s">
        <v>58</v>
      </c>
      <c r="B5" s="103" t="s">
        <v>63</v>
      </c>
      <c r="C5" s="103" t="s">
        <v>25</v>
      </c>
      <c r="D5" s="103" t="s">
        <v>25</v>
      </c>
      <c r="E5" s="103" t="s">
        <v>25</v>
      </c>
      <c r="F5" s="103" t="s">
        <v>25</v>
      </c>
      <c r="G5" s="24" t="s">
        <v>65</v>
      </c>
      <c r="H5" s="24" t="s">
        <v>64</v>
      </c>
      <c r="I5" s="24">
        <f>'MERCADO TUSD'!$U$2+0.00000001</f>
        <v>1E-8</v>
      </c>
      <c r="J5" s="15"/>
      <c r="L5" s="13">
        <f>'TR TUSD'!$L$5*'TR TUSD'!$L$60</f>
        <v>0</v>
      </c>
      <c r="M5" s="13">
        <f>'TR TUSD'!$M$5*'TR TUSD'!$M$60</f>
        <v>0</v>
      </c>
      <c r="N5" s="13">
        <f ca="1">'TR TUSD'!$N$5*'TR TUSD'!$N$60</f>
        <v>0</v>
      </c>
      <c r="O5" s="13">
        <f>'TR TUSD'!$O$5*'TR TUSD'!$O$60</f>
        <v>0</v>
      </c>
      <c r="P5" s="13">
        <f>'TR TUSD'!$P$5*'TR TUSD'!$P$60</f>
        <v>0</v>
      </c>
      <c r="Q5" s="13">
        <f>'TR TUSD'!$Q$5*'TR TUSD'!$Q$60</f>
        <v>0</v>
      </c>
      <c r="R5" s="13">
        <f>'TR TUSD'!$R$5*'TR TUSD'!$R$60</f>
        <v>0</v>
      </c>
      <c r="S5" s="13">
        <f>'TR TUSD'!$S$5*'TR TUSD'!$S$60</f>
        <v>0</v>
      </c>
      <c r="T5" s="13">
        <f ca="1">SUM($L$5:$S$5)</f>
        <v>0</v>
      </c>
      <c r="U5" s="13">
        <f>'TR TUSD'!$U$5*'TR TUSD'!$U$60</f>
        <v>0</v>
      </c>
      <c r="V5" s="13">
        <f>'TR TUSD'!$V$5*'TR TUSD'!$V$60</f>
        <v>0</v>
      </c>
      <c r="W5" s="13">
        <f>'TR TUSD'!$W$5*'TR TUSD'!$W$60</f>
        <v>0</v>
      </c>
      <c r="X5" s="13">
        <f>'TR TUSD'!$X$5*'TR TUSD'!$X$60</f>
        <v>0</v>
      </c>
      <c r="Y5" s="13">
        <f>'TR TUSD'!$Y$5*'TR TUSD'!$Y$60</f>
        <v>48.949900337325488</v>
      </c>
      <c r="Z5" s="13">
        <f>'TR TUSD'!$Z$5</f>
        <v>0</v>
      </c>
      <c r="AA5" s="13">
        <f>'TR TUSD'!$AA$5</f>
        <v>0</v>
      </c>
      <c r="AB5" s="13">
        <f>SUM($U$5:$AA$5)</f>
        <v>48.949900337325488</v>
      </c>
      <c r="AC5" s="13">
        <f>'TR TUSD'!$AC$5*'TR TUSD'!$AC$60</f>
        <v>119.56169151530338</v>
      </c>
      <c r="AD5" s="13">
        <f>SUM($AC$5:$AC$5)</f>
        <v>119.56169151530338</v>
      </c>
      <c r="AE5" s="13">
        <v>0</v>
      </c>
      <c r="AF5" s="13">
        <v>0</v>
      </c>
      <c r="AG5" s="13">
        <f>SUM($AE$5:$AF$5)</f>
        <v>0</v>
      </c>
      <c r="AH5" s="13">
        <f>'TR TUSD'!$AH$5*'TR TUSD'!$AH$60</f>
        <v>0</v>
      </c>
      <c r="AI5" s="13">
        <f>'TR TUSD'!$AI$5*'TR TUSD'!$AI$60</f>
        <v>0</v>
      </c>
      <c r="AJ5" s="13">
        <f ca="1">'TR TUSD'!$AJ$5*'TR TUSD'!$AJ$60</f>
        <v>0</v>
      </c>
      <c r="AK5" s="13">
        <f ca="1">'TR TUSD'!$AK$5*'TR TUSD'!$AK$60</f>
        <v>0</v>
      </c>
      <c r="AL5" s="13">
        <f ca="1">SUM($AH$5:$AK$5)</f>
        <v>0</v>
      </c>
      <c r="AM5" s="13">
        <f ca="1">SUMIF($L$4:$AL$4,"SUBTOTAL",$L$5:$AL$5)</f>
        <v>168.51159185262887</v>
      </c>
      <c r="AP5" s="13">
        <v>1</v>
      </c>
    </row>
    <row r="6" spans="1:42" ht="11.25" customHeight="1" x14ac:dyDescent="0.25">
      <c r="A6" s="103"/>
      <c r="B6" s="103"/>
      <c r="C6" s="103"/>
      <c r="D6" s="103"/>
      <c r="E6" s="103"/>
      <c r="F6" s="103"/>
      <c r="G6" s="24" t="s">
        <v>66</v>
      </c>
      <c r="H6" s="24" t="s">
        <v>64</v>
      </c>
      <c r="I6" s="24">
        <f>'MERCADO TUSD'!$U$3+0.00000001</f>
        <v>1E-8</v>
      </c>
      <c r="J6" s="15"/>
      <c r="L6" s="13">
        <f>'TR TUSD'!$L$6*'TR TUSD'!$L$60</f>
        <v>0</v>
      </c>
      <c r="M6" s="13">
        <f>'TR TUSD'!$M$6*'TR TUSD'!$M$60</f>
        <v>0</v>
      </c>
      <c r="N6" s="13">
        <f ca="1">'TR TUSD'!$N$6*'TR TUSD'!$N$60</f>
        <v>0</v>
      </c>
      <c r="O6" s="13">
        <f>'TR TUSD'!$O$6*'TR TUSD'!$O$60</f>
        <v>0</v>
      </c>
      <c r="P6" s="13">
        <f>'TR TUSD'!$P$6*'TR TUSD'!$P$60</f>
        <v>0</v>
      </c>
      <c r="Q6" s="13">
        <f>'TR TUSD'!$Q$6*'TR TUSD'!$Q$60</f>
        <v>0</v>
      </c>
      <c r="R6" s="13">
        <f>'TR TUSD'!$R$6*'TR TUSD'!$R$60</f>
        <v>0</v>
      </c>
      <c r="S6" s="13">
        <f>'TR TUSD'!$S$6*'TR TUSD'!$S$60</f>
        <v>0</v>
      </c>
      <c r="T6" s="13">
        <f ca="1">SUM($L$6:$S$6)</f>
        <v>0</v>
      </c>
      <c r="U6" s="13">
        <f>'TR TUSD'!$U$6*'TR TUSD'!$U$60</f>
        <v>0</v>
      </c>
      <c r="V6" s="13">
        <f>'TR TUSD'!$V$6*'TR TUSD'!$V$60</f>
        <v>0</v>
      </c>
      <c r="W6" s="13">
        <f>'TR TUSD'!$W$6*'TR TUSD'!$W$60</f>
        <v>0</v>
      </c>
      <c r="X6" s="13">
        <f>'TR TUSD'!$X$6*'TR TUSD'!$X$60</f>
        <v>0</v>
      </c>
      <c r="Y6" s="13">
        <f>'TR TUSD'!$Y$6*'TR TUSD'!$Y$60</f>
        <v>19.784952485735278</v>
      </c>
      <c r="Z6" s="13">
        <f>'TR TUSD'!$Z$6</f>
        <v>0</v>
      </c>
      <c r="AA6" s="13">
        <f>'TR TUSD'!$AA$6</f>
        <v>0</v>
      </c>
      <c r="AB6" s="13">
        <f>SUM($U$6:$AA$6)</f>
        <v>19.784952485735278</v>
      </c>
      <c r="AC6" s="13">
        <f>'TR TUSD'!$AC$6*'TR TUSD'!$AC$60</f>
        <v>33.409536429490451</v>
      </c>
      <c r="AD6" s="13">
        <f>SUM($AC$6:$AC$6)</f>
        <v>33.409536429490451</v>
      </c>
      <c r="AE6" s="13">
        <v>0</v>
      </c>
      <c r="AF6" s="13">
        <v>0</v>
      </c>
      <c r="AG6" s="13">
        <f>SUM($AE$6:$AF$6)</f>
        <v>0</v>
      </c>
      <c r="AH6" s="13">
        <f>'TR TUSD'!$AH$6*'TR TUSD'!$AH$60</f>
        <v>0</v>
      </c>
      <c r="AI6" s="13">
        <f>'TR TUSD'!$AI$6*'TR TUSD'!$AI$60</f>
        <v>0</v>
      </c>
      <c r="AJ6" s="13">
        <f ca="1">'TR TUSD'!$AJ$6*'TR TUSD'!$AJ$60</f>
        <v>0</v>
      </c>
      <c r="AK6" s="13">
        <f ca="1">'TR TUSD'!$AK$6*'TR TUSD'!$AK$60</f>
        <v>0</v>
      </c>
      <c r="AL6" s="13">
        <f ca="1">SUM($AH$6:$AK$6)</f>
        <v>0</v>
      </c>
      <c r="AM6" s="13">
        <f ca="1">SUMIF($L$4:$AL$4,"SUBTOTAL",$L$6:$AL$6)</f>
        <v>53.194488915225733</v>
      </c>
      <c r="AP6" s="13">
        <v>1</v>
      </c>
    </row>
    <row r="7" spans="1:42" ht="11.25" customHeight="1" x14ac:dyDescent="0.25">
      <c r="A7" s="103"/>
      <c r="B7" s="103"/>
      <c r="C7" s="103"/>
      <c r="D7" s="103"/>
      <c r="E7" s="103"/>
      <c r="F7" s="103"/>
      <c r="G7" s="24" t="s">
        <v>67</v>
      </c>
      <c r="H7" s="24" t="s">
        <v>60</v>
      </c>
      <c r="I7" s="24">
        <f>'MERCADO TUSD'!$U$4+0.00000001</f>
        <v>1E-8</v>
      </c>
      <c r="J7" s="15"/>
      <c r="L7" s="13">
        <f>'TR TUSD'!$L$7*'TR TUSD'!$L$60</f>
        <v>26.643921363858254</v>
      </c>
      <c r="M7" s="13">
        <f>'TR TUSD'!$M$7*'TR TUSD'!$M$60</f>
        <v>4.582628505793493</v>
      </c>
      <c r="N7" s="13">
        <f ca="1">'TR TUSD'!$N$7*'TR TUSD'!$N$60</f>
        <v>0</v>
      </c>
      <c r="O7" s="13">
        <f>'TR TUSD'!$O$7*'TR TUSD'!$O$60</f>
        <v>0</v>
      </c>
      <c r="P7" s="13">
        <f>'TR TUSD'!$P$7*'TR TUSD'!$P$60</f>
        <v>0</v>
      </c>
      <c r="Q7" s="13">
        <f>'TR TUSD'!$Q$7*'TR TUSD'!$Q$60</f>
        <v>75.761952387979065</v>
      </c>
      <c r="R7" s="13">
        <f>'TR TUSD'!$R$7*'TR TUSD'!$R$60</f>
        <v>14.263282266658029</v>
      </c>
      <c r="S7" s="13">
        <f>'TR TUSD'!$S$7*'TR TUSD'!$S$60</f>
        <v>0</v>
      </c>
      <c r="T7" s="13">
        <f ca="1">SUM($L$7:$S$7)</f>
        <v>121.25178452428884</v>
      </c>
      <c r="U7" s="13">
        <f>'TR TUSD'!$U$7*'TR TUSD'!$U$60</f>
        <v>0</v>
      </c>
      <c r="V7" s="13">
        <f>'TR TUSD'!$V$7*'TR TUSD'!$V$60</f>
        <v>0</v>
      </c>
      <c r="W7" s="13">
        <f>'TR TUSD'!$W$7*'TR TUSD'!$W$60</f>
        <v>0</v>
      </c>
      <c r="X7" s="13">
        <f>'TR TUSD'!$X$7*'TR TUSD'!$X$60</f>
        <v>0</v>
      </c>
      <c r="Y7" s="13">
        <f>'TR TUSD'!$Y$7*'TR TUSD'!$Y$60</f>
        <v>0</v>
      </c>
      <c r="Z7" s="13">
        <f>'TR TUSD'!$Z$7</f>
        <v>0</v>
      </c>
      <c r="AA7" s="13">
        <f>'TR TUSD'!$AA$7</f>
        <v>0</v>
      </c>
      <c r="AB7" s="13">
        <f>SUM($U$7:$AA$7)</f>
        <v>0</v>
      </c>
      <c r="AC7" s="13">
        <f>'TR TUSD'!$AC$7*'TR TUSD'!$AC$60</f>
        <v>0</v>
      </c>
      <c r="AD7" s="13">
        <f>SUM($AC$7:$AC$7)</f>
        <v>0</v>
      </c>
      <c r="AE7" s="13">
        <v>0</v>
      </c>
      <c r="AF7" s="13">
        <v>0</v>
      </c>
      <c r="AG7" s="13">
        <f>SUM($AE$7:$AF$7)</f>
        <v>0</v>
      </c>
      <c r="AH7" s="13">
        <f>'TR TUSD'!$AH$7*'TR TUSD'!$AH$60</f>
        <v>5.0617903494687848</v>
      </c>
      <c r="AI7" s="13">
        <f>'TR TUSD'!$AI$7*'TR TUSD'!$AI$60</f>
        <v>0</v>
      </c>
      <c r="AJ7" s="13">
        <f ca="1">'TR TUSD'!$AJ$7*'TR TUSD'!$AJ$60</f>
        <v>0</v>
      </c>
      <c r="AK7" s="13">
        <f ca="1">'TR TUSD'!$AK$7*'TR TUSD'!$AK$60</f>
        <v>0</v>
      </c>
      <c r="AL7" s="13">
        <f ca="1">SUM($AH$7:$AK$7)</f>
        <v>5.0617903494687848</v>
      </c>
      <c r="AM7" s="13">
        <f ca="1">SUMIF($L$4:$AL$4,"SUBTOTAL",$L$7:$AL$7)</f>
        <v>126.31357487375762</v>
      </c>
      <c r="AP7" s="13">
        <v>1</v>
      </c>
    </row>
    <row r="8" spans="1:42" ht="11.25" customHeight="1" x14ac:dyDescent="0.25">
      <c r="A8" s="103"/>
      <c r="B8" s="103"/>
      <c r="C8" s="103"/>
      <c r="D8" s="103"/>
      <c r="E8" s="23" t="s">
        <v>68</v>
      </c>
      <c r="F8" s="23" t="s">
        <v>25</v>
      </c>
      <c r="G8" s="24" t="s">
        <v>67</v>
      </c>
      <c r="H8" s="24" t="s">
        <v>60</v>
      </c>
      <c r="I8" s="24">
        <f>'MERCADO TUSD'!$U$5+0.00000001</f>
        <v>1E-8</v>
      </c>
      <c r="J8" s="15"/>
      <c r="L8" s="13">
        <f>'TR TUSD'!$L$8*'TR TUSD'!$L$60</f>
        <v>0</v>
      </c>
      <c r="M8" s="13">
        <f>'TR TUSD'!$M$8*'TR TUSD'!$M$60</f>
        <v>4.582628505793493</v>
      </c>
      <c r="N8" s="13">
        <f ca="1">'TR TUSD'!$N$8*'TR TUSD'!$N$60</f>
        <v>0</v>
      </c>
      <c r="O8" s="13">
        <f>'TR TUSD'!$O$8*'TR TUSD'!$O$60</f>
        <v>0</v>
      </c>
      <c r="P8" s="13">
        <f>'TR TUSD'!$P$8*'TR TUSD'!$P$60</f>
        <v>0</v>
      </c>
      <c r="Q8" s="13">
        <f>'TR TUSD'!$Q$8*'TR TUSD'!$Q$60</f>
        <v>0</v>
      </c>
      <c r="R8" s="13">
        <f>'TR TUSD'!$R$8*'TR TUSD'!$R$60</f>
        <v>0</v>
      </c>
      <c r="S8" s="13">
        <f>'TR TUSD'!$S$8*'TR TUSD'!$S$60</f>
        <v>0</v>
      </c>
      <c r="T8" s="13">
        <f ca="1">SUM($L$8:$S$8)</f>
        <v>4.582628505793493</v>
      </c>
      <c r="U8" s="13">
        <f>'TR TUSD'!$U$8*'TR TUSD'!$U$60</f>
        <v>0</v>
      </c>
      <c r="V8" s="13">
        <f>'TR TUSD'!$V$8*'TR TUSD'!$V$60</f>
        <v>0</v>
      </c>
      <c r="W8" s="13">
        <f>'TR TUSD'!$W$8*'TR TUSD'!$W$60</f>
        <v>0</v>
      </c>
      <c r="X8" s="13">
        <f>'TR TUSD'!$X$8*'TR TUSD'!$X$60</f>
        <v>0</v>
      </c>
      <c r="Y8" s="13">
        <f>'TR TUSD'!$Y$8*'TR TUSD'!$Y$60</f>
        <v>0</v>
      </c>
      <c r="Z8" s="13">
        <f>'TR TUSD'!$Z$8</f>
        <v>0</v>
      </c>
      <c r="AA8" s="13">
        <f>'TR TUSD'!$AA$8</f>
        <v>0</v>
      </c>
      <c r="AB8" s="13">
        <f>SUM($U$8:$AA$8)</f>
        <v>0</v>
      </c>
      <c r="AC8" s="13">
        <f>'TR TUSD'!$AC$8*'TR TUSD'!$AC$60</f>
        <v>0</v>
      </c>
      <c r="AD8" s="13">
        <f>SUM($AC$8:$AC$8)</f>
        <v>0</v>
      </c>
      <c r="AE8" s="13">
        <v>0</v>
      </c>
      <c r="AF8" s="13">
        <v>0</v>
      </c>
      <c r="AG8" s="13">
        <f>SUM($AE$8:$AF$8)</f>
        <v>0</v>
      </c>
      <c r="AH8" s="13">
        <f>'TR TUSD'!$AH$8*'TR TUSD'!$AH$60</f>
        <v>5.0617903494687848</v>
      </c>
      <c r="AI8" s="13">
        <f>'TR TUSD'!$AI$8*'TR TUSD'!$AI$60</f>
        <v>0</v>
      </c>
      <c r="AJ8" s="13">
        <f ca="1">'TR TUSD'!$AJ$8*'TR TUSD'!$AJ$60</f>
        <v>0</v>
      </c>
      <c r="AK8" s="13">
        <f ca="1">'TR TUSD'!$AK$8*'TR TUSD'!$AK$60</f>
        <v>0</v>
      </c>
      <c r="AL8" s="13">
        <f ca="1">SUM($AH$8:$AK$8)</f>
        <v>5.0617903494687848</v>
      </c>
      <c r="AM8" s="13">
        <f ca="1">SUMIF($L$4:$AL$4,"SUBTOTAL",$L$8:$AL$8)</f>
        <v>9.6444188552622769</v>
      </c>
      <c r="AP8" s="13">
        <v>1</v>
      </c>
    </row>
    <row r="9" spans="1:42" ht="11.25" customHeight="1" x14ac:dyDescent="0.25">
      <c r="A9" s="103"/>
      <c r="B9" s="23" t="s">
        <v>69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64</v>
      </c>
      <c r="I9" s="24">
        <f>'MERCADO TUSD'!$U$6+0.00000001</f>
        <v>1E-8</v>
      </c>
      <c r="J9" s="15"/>
      <c r="L9" s="13">
        <f>'TR TUSD'!$L$9*'TR TUSD'!$L$60</f>
        <v>0</v>
      </c>
      <c r="M9" s="13">
        <f>'TR TUSD'!$M$9*'TR TUSD'!$M$60</f>
        <v>1.0395934327087313E-2</v>
      </c>
      <c r="N9" s="13">
        <f ca="1">'TR TUSD'!$N$9*'TR TUSD'!$N$60</f>
        <v>0</v>
      </c>
      <c r="O9" s="13">
        <f>'TR TUSD'!$O$9*'TR TUSD'!$O$60</f>
        <v>0</v>
      </c>
      <c r="P9" s="13">
        <f>'TR TUSD'!$P$9*'TR TUSD'!$P$60</f>
        <v>0</v>
      </c>
      <c r="Q9" s="13">
        <f>'TR TUSD'!$Q$9*'TR TUSD'!$Q$60</f>
        <v>0</v>
      </c>
      <c r="R9" s="13">
        <f>'TR TUSD'!$R$9*'TR TUSD'!$R$60</f>
        <v>0</v>
      </c>
      <c r="S9" s="13">
        <f>'TR TUSD'!$S$9*'TR TUSD'!$S$60</f>
        <v>0</v>
      </c>
      <c r="T9" s="13">
        <f ca="1">SUM($L$9:$S$9)</f>
        <v>1.0395934327087313E-2</v>
      </c>
      <c r="U9" s="13">
        <f>'TR TUSD'!$U$9*'TR TUSD'!$U$60</f>
        <v>0</v>
      </c>
      <c r="V9" s="13">
        <f>'TR TUSD'!$V$9*'TR TUSD'!$V$60</f>
        <v>0</v>
      </c>
      <c r="W9" s="13">
        <f>'TR TUSD'!$W$9*'TR TUSD'!$W$60</f>
        <v>0</v>
      </c>
      <c r="X9" s="13">
        <f>'TR TUSD'!$X$9*'TR TUSD'!$X$60</f>
        <v>0</v>
      </c>
      <c r="Y9" s="13">
        <f>'TR TUSD'!$Y$9*'TR TUSD'!$Y$60</f>
        <v>0</v>
      </c>
      <c r="Z9" s="13">
        <f>'TR TUSD'!$Z$9*'TR TUSD'!$Z$60</f>
        <v>0</v>
      </c>
      <c r="AA9" s="13">
        <f>'TR TUSD'!$AA$9*'TR TUSD'!$AA$60</f>
        <v>0</v>
      </c>
      <c r="AB9" s="13">
        <f>SUM($U$9:$AA$9)</f>
        <v>0</v>
      </c>
      <c r="AC9" s="13">
        <f>'TR TUSD'!$AC$9*'TR TUSD'!$AC$60</f>
        <v>15.11459353821482</v>
      </c>
      <c r="AD9" s="13">
        <f>SUM($AC$9:$AC$9)</f>
        <v>15.11459353821482</v>
      </c>
      <c r="AE9" s="13">
        <v>0</v>
      </c>
      <c r="AF9" s="13">
        <v>0</v>
      </c>
      <c r="AG9" s="13">
        <f>SUM($AE$9:$AF$9)</f>
        <v>0</v>
      </c>
      <c r="AH9" s="13">
        <f>'TR TUSD'!$AH$9*'TR TUSD'!$AH$60</f>
        <v>0</v>
      </c>
      <c r="AI9" s="13">
        <f>'TR TUSD'!$AI$9*'TR TUSD'!$AI$60</f>
        <v>0</v>
      </c>
      <c r="AJ9" s="13">
        <f ca="1">'TR TUSD'!$AJ$9*'TR TUSD'!$AJ$60</f>
        <v>0</v>
      </c>
      <c r="AK9" s="13">
        <f ca="1">'TR TUSD'!$AK$9*'TR TUSD'!$AK$60</f>
        <v>0</v>
      </c>
      <c r="AL9" s="13">
        <f ca="1">SUM($AH$9:$AK$9)</f>
        <v>0</v>
      </c>
      <c r="AM9" s="13">
        <f ca="1">SUMIF($L$4:$AL$4,"SUBTOTAL",$L$9:$AL$9)</f>
        <v>15.124989472541907</v>
      </c>
      <c r="AP9" s="13"/>
    </row>
    <row r="10" spans="1:42" ht="11.25" customHeight="1" x14ac:dyDescent="0.25">
      <c r="A10" s="103"/>
      <c r="B10" s="103" t="s">
        <v>70</v>
      </c>
      <c r="C10" s="103" t="s">
        <v>25</v>
      </c>
      <c r="D10" s="103" t="s">
        <v>25</v>
      </c>
      <c r="E10" s="103" t="s">
        <v>25</v>
      </c>
      <c r="F10" s="103" t="s">
        <v>25</v>
      </c>
      <c r="G10" s="24" t="s">
        <v>9</v>
      </c>
      <c r="H10" s="24" t="s">
        <v>64</v>
      </c>
      <c r="I10" s="24">
        <f>'MERCADO TUSD'!$U$7+0.00000001</f>
        <v>1E-8</v>
      </c>
      <c r="J10" s="15"/>
      <c r="L10" s="13">
        <f>'TR TUSD'!$L$10*'TR TUSD'!$L$60</f>
        <v>0</v>
      </c>
      <c r="M10" s="13">
        <f>'TR TUSD'!$M$10*'TR TUSD'!$M$60</f>
        <v>0</v>
      </c>
      <c r="N10" s="13">
        <f ca="1">'TR TUSD'!$N$10*'TR TUSD'!$N$60</f>
        <v>0</v>
      </c>
      <c r="O10" s="13">
        <f>'TR TUSD'!$O$10*'TR TUSD'!$O$60</f>
        <v>0</v>
      </c>
      <c r="P10" s="13">
        <f>'TR TUSD'!$P$10*'TR TUSD'!$P$60</f>
        <v>0</v>
      </c>
      <c r="Q10" s="13">
        <f>'TR TUSD'!$Q$10*'TR TUSD'!$Q$60</f>
        <v>0</v>
      </c>
      <c r="R10" s="13">
        <f>'TR TUSD'!$R$10*'TR TUSD'!$R$60</f>
        <v>0</v>
      </c>
      <c r="S10" s="13">
        <f>'TR TUSD'!$S$10*'TR TUSD'!$S$60</f>
        <v>0</v>
      </c>
      <c r="T10" s="13">
        <f ca="1">SUM($L$10:$S$10)</f>
        <v>0</v>
      </c>
      <c r="U10" s="13">
        <f>'TR TUSD'!$U$10*'TR TUSD'!$U$60</f>
        <v>0</v>
      </c>
      <c r="V10" s="13">
        <f>'TR TUSD'!$V$10*'TR TUSD'!$V$60</f>
        <v>0</v>
      </c>
      <c r="W10" s="13">
        <f>'TR TUSD'!$W$10*'TR TUSD'!$W$60</f>
        <v>0</v>
      </c>
      <c r="X10" s="13">
        <f>'TR TUSD'!$X$10*'TR TUSD'!$X$60</f>
        <v>0</v>
      </c>
      <c r="Y10" s="13">
        <f>'TR TUSD'!$Y$10*'TR TUSD'!$Y$60</f>
        <v>19.784952485735278</v>
      </c>
      <c r="Z10" s="13">
        <f>'TR TUSD'!$Z$10</f>
        <v>0</v>
      </c>
      <c r="AA10" s="13">
        <f>'TR TUSD'!$AA$10</f>
        <v>0</v>
      </c>
      <c r="AB10" s="13">
        <f>SUM($U$10:$AA$10)</f>
        <v>19.784952485735278</v>
      </c>
      <c r="AC10" s="13">
        <f>'TR TUSD'!$AC$10*'TR TUSD'!$AC$60</f>
        <v>33.409536429490451</v>
      </c>
      <c r="AD10" s="13">
        <f>SUM($AC$10:$AC$10)</f>
        <v>33.409536429490451</v>
      </c>
      <c r="AE10" s="13">
        <v>0</v>
      </c>
      <c r="AF10" s="13">
        <v>0</v>
      </c>
      <c r="AG10" s="13">
        <f>SUM($AE$10:$AF$10)</f>
        <v>0</v>
      </c>
      <c r="AH10" s="13">
        <f>'TR TUSD'!$AH$10*'TR TUSD'!$AH$60</f>
        <v>0</v>
      </c>
      <c r="AI10" s="13">
        <f>'TR TUSD'!$AI$10*'TR TUSD'!$AI$60</f>
        <v>0</v>
      </c>
      <c r="AJ10" s="13">
        <f ca="1">'TR TUSD'!$AJ$10*'TR TUSD'!$AJ$60</f>
        <v>0</v>
      </c>
      <c r="AK10" s="13">
        <f ca="1">'TR TUSD'!$AK$10*'TR TUSD'!$AK$60</f>
        <v>0</v>
      </c>
      <c r="AL10" s="13">
        <f ca="1">SUM($AH$10:$AK$10)</f>
        <v>0</v>
      </c>
      <c r="AM10" s="13">
        <f ca="1">SUMIF($L$4:$AL$4,"SUBTOTAL",$L$10:$AL$10)</f>
        <v>53.194488915225733</v>
      </c>
      <c r="AP10" s="13">
        <v>1</v>
      </c>
    </row>
    <row r="11" spans="1:42" ht="11.25" customHeight="1" x14ac:dyDescent="0.25">
      <c r="A11" s="103"/>
      <c r="B11" s="103"/>
      <c r="C11" s="103"/>
      <c r="D11" s="103"/>
      <c r="E11" s="103"/>
      <c r="F11" s="103"/>
      <c r="G11" s="24" t="s">
        <v>61</v>
      </c>
      <c r="H11" s="24" t="s">
        <v>60</v>
      </c>
      <c r="I11" s="24">
        <f>'MERCADO TUSD'!$U$8+0.00000001</f>
        <v>1E-8</v>
      </c>
      <c r="J11" s="15"/>
      <c r="L11" s="13">
        <f>'TR TUSD'!$L$11*'TR TUSD'!$L$60</f>
        <v>26.643921363858254</v>
      </c>
      <c r="M11" s="13">
        <f>'TR TUSD'!$M$11*'TR TUSD'!$M$60</f>
        <v>4.582628505793493</v>
      </c>
      <c r="N11" s="13">
        <f ca="1">'TR TUSD'!$N$11*'TR TUSD'!$N$60</f>
        <v>0</v>
      </c>
      <c r="O11" s="13">
        <f>'TR TUSD'!$O$11*'TR TUSD'!$O$60</f>
        <v>0</v>
      </c>
      <c r="P11" s="13">
        <f>'TR TUSD'!$P$11*'TR TUSD'!$P$60</f>
        <v>0</v>
      </c>
      <c r="Q11" s="13">
        <f>'TR TUSD'!$Q$11*'TR TUSD'!$Q$60</f>
        <v>75.761952387979065</v>
      </c>
      <c r="R11" s="13">
        <f>'TR TUSD'!$R$11*'TR TUSD'!$R$60</f>
        <v>14.263282266658029</v>
      </c>
      <c r="S11" s="13">
        <f>'TR TUSD'!$S$11*'TR TUSD'!$S$60</f>
        <v>0</v>
      </c>
      <c r="T11" s="13">
        <f ca="1">SUM($L$11:$S$11)</f>
        <v>121.25178452428884</v>
      </c>
      <c r="U11" s="13">
        <f>'TR TUSD'!$U$11*'TR TUSD'!$U$60</f>
        <v>0</v>
      </c>
      <c r="V11" s="13">
        <f>'TR TUSD'!$V$11*'TR TUSD'!$V$60</f>
        <v>0</v>
      </c>
      <c r="W11" s="13">
        <f>'TR TUSD'!$W$11*'TR TUSD'!$W$60</f>
        <v>0</v>
      </c>
      <c r="X11" s="13">
        <f>'TR TUSD'!$X$11*'TR TUSD'!$X$60</f>
        <v>0</v>
      </c>
      <c r="Y11" s="13">
        <f>'TR TUSD'!$Y$11*'TR TUSD'!$Y$60</f>
        <v>1177.7152906348779</v>
      </c>
      <c r="Z11" s="13">
        <f>'TR TUSD'!$Z$11</f>
        <v>0</v>
      </c>
      <c r="AA11" s="13">
        <f>'TR TUSD'!$AA$11</f>
        <v>0</v>
      </c>
      <c r="AB11" s="13">
        <f>SUM($U$11:$AA$11)</f>
        <v>1177.7152906348779</v>
      </c>
      <c r="AC11" s="13">
        <f>'TR TUSD'!$AC$11*'TR TUSD'!$AC$60</f>
        <v>2875.4607929810918</v>
      </c>
      <c r="AD11" s="13">
        <f>SUM($AC$11:$AC$11)</f>
        <v>2875.4607929810918</v>
      </c>
      <c r="AE11" s="13">
        <v>0</v>
      </c>
      <c r="AF11" s="13">
        <v>0</v>
      </c>
      <c r="AG11" s="13">
        <f>SUM($AE$11:$AF$11)</f>
        <v>0</v>
      </c>
      <c r="AH11" s="13">
        <f>'TR TUSD'!$AH$11*'TR TUSD'!$AH$60</f>
        <v>5.0617903494687848</v>
      </c>
      <c r="AI11" s="13">
        <f>'TR TUSD'!$AI$11*'TR TUSD'!$AI$60</f>
        <v>0</v>
      </c>
      <c r="AJ11" s="13">
        <f ca="1">'TR TUSD'!$AJ$11*'TR TUSD'!$AJ$60</f>
        <v>0</v>
      </c>
      <c r="AK11" s="13">
        <f ca="1">'TR TUSD'!$AK$11*'TR TUSD'!$AK$60</f>
        <v>0</v>
      </c>
      <c r="AL11" s="13">
        <f ca="1">SUM($AH$11:$AK$11)</f>
        <v>5.0617903494687848</v>
      </c>
      <c r="AM11" s="13">
        <f ca="1">SUMIF($L$4:$AL$4,"SUBTOTAL",$L$11:$AL$11)</f>
        <v>4179.4896584897269</v>
      </c>
      <c r="AP11" s="13">
        <v>1</v>
      </c>
    </row>
    <row r="12" spans="1:42" ht="11.25" customHeight="1" x14ac:dyDescent="0.25">
      <c r="A12" s="103"/>
      <c r="B12" s="103"/>
      <c r="C12" s="103"/>
      <c r="D12" s="103"/>
      <c r="E12" s="103"/>
      <c r="F12" s="103"/>
      <c r="G12" s="24" t="s">
        <v>62</v>
      </c>
      <c r="H12" s="24" t="s">
        <v>60</v>
      </c>
      <c r="I12" s="24">
        <f>'MERCADO TUSD'!$U$9+0.00000001</f>
        <v>1E-8</v>
      </c>
      <c r="J12" s="15"/>
      <c r="L12" s="13">
        <f>'TR TUSD'!$L$12*'TR TUSD'!$L$60</f>
        <v>26.643921363858254</v>
      </c>
      <c r="M12" s="13">
        <f>'TR TUSD'!$M$12*'TR TUSD'!$M$60</f>
        <v>4.582628505793493</v>
      </c>
      <c r="N12" s="13">
        <f ca="1">'TR TUSD'!$N$12*'TR TUSD'!$N$60</f>
        <v>0</v>
      </c>
      <c r="O12" s="13">
        <f>'TR TUSD'!$O$12*'TR TUSD'!$O$60</f>
        <v>0</v>
      </c>
      <c r="P12" s="13">
        <f>'TR TUSD'!$P$12*'TR TUSD'!$P$60</f>
        <v>0</v>
      </c>
      <c r="Q12" s="13">
        <f>'TR TUSD'!$Q$12*'TR TUSD'!$Q$60</f>
        <v>75.761952387979065</v>
      </c>
      <c r="R12" s="13">
        <f>'TR TUSD'!$R$12*'TR TUSD'!$R$60</f>
        <v>14.263282266658029</v>
      </c>
      <c r="S12" s="13">
        <f>'TR TUSD'!$S$12*'TR TUSD'!$S$60</f>
        <v>0</v>
      </c>
      <c r="T12" s="13">
        <f ca="1">SUM($L$12:$S$12)</f>
        <v>121.25178452428884</v>
      </c>
      <c r="U12" s="13">
        <f>'TR TUSD'!$U$12*'TR TUSD'!$U$60</f>
        <v>0</v>
      </c>
      <c r="V12" s="13">
        <f>'TR TUSD'!$V$12*'TR TUSD'!$V$60</f>
        <v>0</v>
      </c>
      <c r="W12" s="13">
        <f>'TR TUSD'!$W$12*'TR TUSD'!$W$60</f>
        <v>0</v>
      </c>
      <c r="X12" s="13">
        <f>'TR TUSD'!$X$12*'TR TUSD'!$X$60</f>
        <v>0</v>
      </c>
      <c r="Y12" s="13">
        <f>'TR TUSD'!$Y$12*'TR TUSD'!$Y$60</f>
        <v>0</v>
      </c>
      <c r="Z12" s="13">
        <f>'TR TUSD'!$Z$12</f>
        <v>0</v>
      </c>
      <c r="AA12" s="13">
        <f>'TR TUSD'!$AA$12</f>
        <v>0</v>
      </c>
      <c r="AB12" s="13">
        <f>SUM($U$12:$AA$12)</f>
        <v>0</v>
      </c>
      <c r="AC12" s="13">
        <f>'TR TUSD'!$AC$12*'TR TUSD'!$AC$60</f>
        <v>0</v>
      </c>
      <c r="AD12" s="13">
        <f>SUM($AC$12:$AC$12)</f>
        <v>0</v>
      </c>
      <c r="AE12" s="13">
        <v>0</v>
      </c>
      <c r="AF12" s="13">
        <v>0</v>
      </c>
      <c r="AG12" s="13">
        <f>SUM($AE$12:$AF$12)</f>
        <v>0</v>
      </c>
      <c r="AH12" s="13">
        <f>'TR TUSD'!$AH$12*'TR TUSD'!$AH$60</f>
        <v>5.0617903494687848</v>
      </c>
      <c r="AI12" s="13">
        <f>'TR TUSD'!$AI$12*'TR TUSD'!$AI$60</f>
        <v>0</v>
      </c>
      <c r="AJ12" s="13">
        <f ca="1">'TR TUSD'!$AJ$12*'TR TUSD'!$AJ$60</f>
        <v>0</v>
      </c>
      <c r="AK12" s="13">
        <f ca="1">'TR TUSD'!$AK$12*'TR TUSD'!$AK$60</f>
        <v>0</v>
      </c>
      <c r="AL12" s="13">
        <f ca="1">SUM($AH$12:$AK$12)</f>
        <v>5.0617903494687848</v>
      </c>
      <c r="AM12" s="13">
        <f ca="1">SUMIF($L$4:$AL$4,"SUBTOTAL",$L$12:$AL$12)</f>
        <v>126.31357487375762</v>
      </c>
      <c r="AP12" s="13">
        <v>1</v>
      </c>
    </row>
    <row r="13" spans="1:42" ht="11.25" customHeight="1" x14ac:dyDescent="0.25">
      <c r="A13" s="103"/>
      <c r="B13" s="103"/>
      <c r="C13" s="103"/>
      <c r="D13" s="103"/>
      <c r="E13" s="103" t="s">
        <v>68</v>
      </c>
      <c r="F13" s="103" t="s">
        <v>25</v>
      </c>
      <c r="G13" s="24" t="s">
        <v>61</v>
      </c>
      <c r="H13" s="24" t="s">
        <v>60</v>
      </c>
      <c r="I13" s="24">
        <f>'MERCADO TUSD'!$U$10+0.00000001</f>
        <v>1E-8</v>
      </c>
      <c r="J13" s="15"/>
      <c r="L13" s="13">
        <f>'TR TUSD'!$L$13*'TR TUSD'!$L$60</f>
        <v>0</v>
      </c>
      <c r="M13" s="13">
        <f>'TR TUSD'!$M$13*'TR TUSD'!$M$60</f>
        <v>4.582628505793493</v>
      </c>
      <c r="N13" s="13">
        <f ca="1">'TR TUSD'!$N$13*'TR TUSD'!$N$60</f>
        <v>0</v>
      </c>
      <c r="O13" s="13">
        <f>'TR TUSD'!$O$13*'TR TUSD'!$O$60</f>
        <v>0</v>
      </c>
      <c r="P13" s="13">
        <f>'TR TUSD'!$P$13*'TR TUSD'!$P$60</f>
        <v>0</v>
      </c>
      <c r="Q13" s="13">
        <f>'TR TUSD'!$Q$13*'TR TUSD'!$Q$60</f>
        <v>0</v>
      </c>
      <c r="R13" s="13">
        <f>'TR TUSD'!$R$13*'TR TUSD'!$R$60</f>
        <v>0</v>
      </c>
      <c r="S13" s="13">
        <f>'TR TUSD'!$S$13*'TR TUSD'!$S$60</f>
        <v>0</v>
      </c>
      <c r="T13" s="13">
        <f ca="1">SUM($L$13:$S$13)</f>
        <v>4.582628505793493</v>
      </c>
      <c r="U13" s="13">
        <f>'TR TUSD'!$U$13*'TR TUSD'!$U$60</f>
        <v>0</v>
      </c>
      <c r="V13" s="13">
        <f>'TR TUSD'!$V$13*'TR TUSD'!$V$60</f>
        <v>0</v>
      </c>
      <c r="W13" s="13">
        <f>'TR TUSD'!$W$13*'TR TUSD'!$W$60</f>
        <v>0</v>
      </c>
      <c r="X13" s="13">
        <f>'TR TUSD'!$X$13*'TR TUSD'!$X$60</f>
        <v>0</v>
      </c>
      <c r="Y13" s="13">
        <f>'TR TUSD'!$Y$13*'TR TUSD'!$Y$60</f>
        <v>1177.7152906348779</v>
      </c>
      <c r="Z13" s="13">
        <f>'TR TUSD'!$Z$13</f>
        <v>0</v>
      </c>
      <c r="AA13" s="13">
        <f>'TR TUSD'!$AA$13</f>
        <v>0</v>
      </c>
      <c r="AB13" s="13">
        <f>SUM($U$13:$AA$13)</f>
        <v>1177.7152906348779</v>
      </c>
      <c r="AC13" s="13">
        <f>'TR TUSD'!$AC$13*'TR TUSD'!$AC$60</f>
        <v>2875.4607929810918</v>
      </c>
      <c r="AD13" s="13">
        <f>SUM($AC$13:$AC$13)</f>
        <v>2875.4607929810918</v>
      </c>
      <c r="AE13" s="13">
        <v>0</v>
      </c>
      <c r="AF13" s="13">
        <v>0</v>
      </c>
      <c r="AG13" s="13">
        <f>SUM($AE$13:$AF$13)</f>
        <v>0</v>
      </c>
      <c r="AH13" s="13">
        <f>'TR TUSD'!$AH$13*'TR TUSD'!$AH$60</f>
        <v>5.0617903494687848</v>
      </c>
      <c r="AI13" s="13">
        <f>'TR TUSD'!$AI$13*'TR TUSD'!$AI$60</f>
        <v>0</v>
      </c>
      <c r="AJ13" s="13">
        <f ca="1">'TR TUSD'!$AJ$13*'TR TUSD'!$AJ$60</f>
        <v>0</v>
      </c>
      <c r="AK13" s="13">
        <f ca="1">'TR TUSD'!$AK$13*'TR TUSD'!$AK$60</f>
        <v>0</v>
      </c>
      <c r="AL13" s="13">
        <f ca="1">SUM($AH$13:$AK$13)</f>
        <v>5.0617903494687848</v>
      </c>
      <c r="AM13" s="13">
        <f ca="1">SUMIF($L$4:$AL$4,"SUBTOTAL",$L$13:$AL$13)</f>
        <v>4062.820502471232</v>
      </c>
      <c r="AP13" s="13">
        <v>1</v>
      </c>
    </row>
    <row r="14" spans="1:42" ht="11.25" customHeight="1" x14ac:dyDescent="0.25">
      <c r="A14" s="103"/>
      <c r="B14" s="103"/>
      <c r="C14" s="103"/>
      <c r="D14" s="103"/>
      <c r="E14" s="103"/>
      <c r="F14" s="103"/>
      <c r="G14" s="24" t="s">
        <v>62</v>
      </c>
      <c r="H14" s="24" t="s">
        <v>60</v>
      </c>
      <c r="I14" s="24">
        <f>'MERCADO TUSD'!$U$11+0.00000001</f>
        <v>1E-8</v>
      </c>
      <c r="J14" s="15"/>
      <c r="L14" s="13">
        <f>'TR TUSD'!$L$14*'TR TUSD'!$L$60</f>
        <v>0</v>
      </c>
      <c r="M14" s="13">
        <f>'TR TUSD'!$M$14*'TR TUSD'!$M$60</f>
        <v>4.582628505793493</v>
      </c>
      <c r="N14" s="13">
        <f ca="1">'TR TUSD'!$N$14*'TR TUSD'!$N$60</f>
        <v>0</v>
      </c>
      <c r="O14" s="13">
        <f>'TR TUSD'!$O$14*'TR TUSD'!$O$60</f>
        <v>0</v>
      </c>
      <c r="P14" s="13">
        <f>'TR TUSD'!$P$14*'TR TUSD'!$P$60</f>
        <v>0</v>
      </c>
      <c r="Q14" s="13">
        <f>'TR TUSD'!$Q$14*'TR TUSD'!$Q$60</f>
        <v>0</v>
      </c>
      <c r="R14" s="13">
        <f>'TR TUSD'!$R$14*'TR TUSD'!$R$60</f>
        <v>0</v>
      </c>
      <c r="S14" s="13">
        <f>'TR TUSD'!$S$14*'TR TUSD'!$S$60</f>
        <v>0</v>
      </c>
      <c r="T14" s="13">
        <f ca="1">SUM($L$14:$S$14)</f>
        <v>4.582628505793493</v>
      </c>
      <c r="U14" s="13">
        <f>'TR TUSD'!$U$14*'TR TUSD'!$U$60</f>
        <v>0</v>
      </c>
      <c r="V14" s="13">
        <f>'TR TUSD'!$V$14*'TR TUSD'!$V$60</f>
        <v>0</v>
      </c>
      <c r="W14" s="13">
        <f>'TR TUSD'!$W$14*'TR TUSD'!$W$60</f>
        <v>0</v>
      </c>
      <c r="X14" s="13">
        <f>'TR TUSD'!$X$14*'TR TUSD'!$X$60</f>
        <v>0</v>
      </c>
      <c r="Y14" s="13">
        <f>'TR TUSD'!$Y$14*'TR TUSD'!$Y$60</f>
        <v>0</v>
      </c>
      <c r="Z14" s="13">
        <f>'TR TUSD'!$Z$14</f>
        <v>0</v>
      </c>
      <c r="AA14" s="13">
        <f>'TR TUSD'!$AA$14</f>
        <v>0</v>
      </c>
      <c r="AB14" s="13">
        <f>SUM($U$14:$AA$14)</f>
        <v>0</v>
      </c>
      <c r="AC14" s="13">
        <f>'TR TUSD'!$AC$14*'TR TUSD'!$AC$60</f>
        <v>0</v>
      </c>
      <c r="AD14" s="13">
        <f>SUM($AC$14:$AC$14)</f>
        <v>0</v>
      </c>
      <c r="AE14" s="13">
        <v>0</v>
      </c>
      <c r="AF14" s="13">
        <v>0</v>
      </c>
      <c r="AG14" s="13">
        <f>SUM($AE$14:$AF$14)</f>
        <v>0</v>
      </c>
      <c r="AH14" s="13">
        <f>'TR TUSD'!$AH$14*'TR TUSD'!$AH$60</f>
        <v>5.0617903494687848</v>
      </c>
      <c r="AI14" s="13">
        <f>'TR TUSD'!$AI$14*'TR TUSD'!$AI$60</f>
        <v>0</v>
      </c>
      <c r="AJ14" s="13">
        <f ca="1">'TR TUSD'!$AJ$14*'TR TUSD'!$AJ$60</f>
        <v>0</v>
      </c>
      <c r="AK14" s="13">
        <f ca="1">'TR TUSD'!$AK$14*'TR TUSD'!$AK$60</f>
        <v>0</v>
      </c>
      <c r="AL14" s="13">
        <f ca="1">SUM($AH$14:$AK$14)</f>
        <v>5.0617903494687848</v>
      </c>
      <c r="AM14" s="13">
        <f ca="1">SUMIF($L$4:$AL$4,"SUBTOTAL",$L$14:$AL$14)</f>
        <v>9.6444188552622769</v>
      </c>
      <c r="AP14" s="13">
        <v>1</v>
      </c>
    </row>
    <row r="15" spans="1:42" ht="11.25" customHeight="1" x14ac:dyDescent="0.25">
      <c r="A15" s="103" t="s">
        <v>71</v>
      </c>
      <c r="B15" s="103" t="s">
        <v>69</v>
      </c>
      <c r="C15" s="103" t="s">
        <v>25</v>
      </c>
      <c r="D15" s="103" t="s">
        <v>25</v>
      </c>
      <c r="E15" s="23" t="s">
        <v>72</v>
      </c>
      <c r="F15" s="23" t="s">
        <v>25</v>
      </c>
      <c r="G15" s="24" t="s">
        <v>9</v>
      </c>
      <c r="H15" s="24" t="s">
        <v>64</v>
      </c>
      <c r="I15" s="24">
        <f>'MERCADO TUSD'!$U$12+0.00000001</f>
        <v>1E-8</v>
      </c>
      <c r="J15" s="15"/>
      <c r="L15" s="13">
        <f>'TR TUSD'!$L$15*'TR TUSD'!$L$60</f>
        <v>0</v>
      </c>
      <c r="M15" s="13">
        <f>'TR TUSD'!$M$15*'TR TUSD'!$M$60</f>
        <v>1.0698728530788884E-2</v>
      </c>
      <c r="N15" s="13">
        <f ca="1">'TR TUSD'!$N$15*'TR TUSD'!$N$60</f>
        <v>0</v>
      </c>
      <c r="O15" s="13">
        <f>'TR TUSD'!$O$15*'TR TUSD'!$O$60</f>
        <v>0</v>
      </c>
      <c r="P15" s="13">
        <f>'TR TUSD'!$P$15*'TR TUSD'!$P$60</f>
        <v>0</v>
      </c>
      <c r="Q15" s="13">
        <f>'TR TUSD'!$Q$15*'TR TUSD'!$Q$60</f>
        <v>0</v>
      </c>
      <c r="R15" s="13">
        <f>'TR TUSD'!$R$15*'TR TUSD'!$R$60</f>
        <v>0</v>
      </c>
      <c r="S15" s="13">
        <f>'TR TUSD'!$S$15*'TR TUSD'!$S$60</f>
        <v>0</v>
      </c>
      <c r="T15" s="13">
        <f ca="1">SUM($L$15:$S$15)</f>
        <v>1.0698728530788884E-2</v>
      </c>
      <c r="U15" s="13">
        <f>'TR TUSD'!$U$15*'TR TUSD'!$U$60</f>
        <v>0</v>
      </c>
      <c r="V15" s="13">
        <f>'TR TUSD'!$V$15*'TR TUSD'!$V$60</f>
        <v>0</v>
      </c>
      <c r="W15" s="13">
        <f>'TR TUSD'!$W$15*'TR TUSD'!$W$60</f>
        <v>0</v>
      </c>
      <c r="X15" s="13">
        <f>'TR TUSD'!$X$15*'TR TUSD'!$X$60</f>
        <v>0</v>
      </c>
      <c r="Y15" s="13">
        <f>'TR TUSD'!$Y$15*'TR TUSD'!$Y$60</f>
        <v>0</v>
      </c>
      <c r="Z15" s="13">
        <f>'TR TUSD'!$Z$15*'TR TUSD'!$Z$60</f>
        <v>0</v>
      </c>
      <c r="AA15" s="13">
        <f>'TR TUSD'!$AA$15*'TR TUSD'!$AA$60</f>
        <v>0</v>
      </c>
      <c r="AB15" s="13">
        <f>SUM($U$15:$AA$15)</f>
        <v>0</v>
      </c>
      <c r="AC15" s="13">
        <f>'TR TUSD'!$AC$15*'TR TUSD'!$AC$60</f>
        <v>15.590528460726624</v>
      </c>
      <c r="AD15" s="13">
        <f>SUM($AC$15:$AC$15)</f>
        <v>15.590528460726624</v>
      </c>
      <c r="AE15" s="13">
        <v>0</v>
      </c>
      <c r="AF15" s="13">
        <v>0</v>
      </c>
      <c r="AG15" s="13">
        <f>SUM($AE$15:$AF$15)</f>
        <v>0</v>
      </c>
      <c r="AH15" s="13">
        <f>'TR TUSD'!$AH$15*'TR TUSD'!$AH$60</f>
        <v>0</v>
      </c>
      <c r="AI15" s="13">
        <f>'TR TUSD'!$AI$15*'TR TUSD'!$AI$60</f>
        <v>0</v>
      </c>
      <c r="AJ15" s="13">
        <f ca="1">'TR TUSD'!$AJ$15*'TR TUSD'!$AJ$60</f>
        <v>0</v>
      </c>
      <c r="AK15" s="13">
        <f ca="1">'TR TUSD'!$AK$15*'TR TUSD'!$AK$60</f>
        <v>0</v>
      </c>
      <c r="AL15" s="13">
        <f ca="1">SUM($AH$15:$AK$15)</f>
        <v>0</v>
      </c>
      <c r="AM15" s="13">
        <f ca="1">SUMIF($L$4:$AL$4,"SUBTOTAL",$L$15:$AL$15)</f>
        <v>15.601227189257413</v>
      </c>
      <c r="AP15" s="13"/>
    </row>
    <row r="16" spans="1:42" ht="11.25" customHeight="1" x14ac:dyDescent="0.25">
      <c r="A16" s="103"/>
      <c r="B16" s="103"/>
      <c r="C16" s="103"/>
      <c r="D16" s="103"/>
      <c r="E16" s="23" t="s">
        <v>73</v>
      </c>
      <c r="F16" s="23" t="s">
        <v>25</v>
      </c>
      <c r="G16" s="24" t="s">
        <v>9</v>
      </c>
      <c r="H16" s="24" t="s">
        <v>64</v>
      </c>
      <c r="I16" s="24">
        <f>'MERCADO TUSD'!$U$13+0.00000001</f>
        <v>1E-8</v>
      </c>
      <c r="J16" s="15"/>
      <c r="L16" s="13">
        <f>'TR TUSD'!$L$16*'TR TUSD'!$L$60</f>
        <v>0</v>
      </c>
      <c r="M16" s="13">
        <f>'TR TUSD'!$M$16*'TR TUSD'!$M$60</f>
        <v>1.0698728530788884E-2</v>
      </c>
      <c r="N16" s="13">
        <f ca="1">'TR TUSD'!$N$16*'TR TUSD'!$N$60</f>
        <v>0</v>
      </c>
      <c r="O16" s="13">
        <f>'TR TUSD'!$O$16*'TR TUSD'!$O$60</f>
        <v>0</v>
      </c>
      <c r="P16" s="13">
        <f>'TR TUSD'!$P$16*'TR TUSD'!$P$60</f>
        <v>0</v>
      </c>
      <c r="Q16" s="13">
        <f>'TR TUSD'!$Q$16*'TR TUSD'!$Q$60</f>
        <v>0</v>
      </c>
      <c r="R16" s="13">
        <f>'TR TUSD'!$R$16*'TR TUSD'!$R$60</f>
        <v>0</v>
      </c>
      <c r="S16" s="13">
        <f>'TR TUSD'!$S$16*'TR TUSD'!$S$60</f>
        <v>0</v>
      </c>
      <c r="T16" s="13">
        <f ca="1">SUM($L$16:$S$16)</f>
        <v>1.0698728530788884E-2</v>
      </c>
      <c r="U16" s="13">
        <f>'TR TUSD'!$U$16*'TR TUSD'!$U$60</f>
        <v>0</v>
      </c>
      <c r="V16" s="13">
        <f>'TR TUSD'!$V$16*'TR TUSD'!$V$60</f>
        <v>0</v>
      </c>
      <c r="W16" s="13">
        <f>'TR TUSD'!$W$16*'TR TUSD'!$W$60</f>
        <v>0</v>
      </c>
      <c r="X16" s="13">
        <f>'TR TUSD'!$X$16*'TR TUSD'!$X$60</f>
        <v>0</v>
      </c>
      <c r="Y16" s="13">
        <f>'TR TUSD'!$Y$16*'TR TUSD'!$Y$60</f>
        <v>0</v>
      </c>
      <c r="Z16" s="13">
        <f>'TR TUSD'!$Z$16*'TR TUSD'!$Z$60</f>
        <v>0</v>
      </c>
      <c r="AA16" s="13">
        <f>'TR TUSD'!$AA$16*'TR TUSD'!$AA$60</f>
        <v>0</v>
      </c>
      <c r="AB16" s="13">
        <f>SUM($U$16:$AA$16)</f>
        <v>0</v>
      </c>
      <c r="AC16" s="13">
        <f>'TR TUSD'!$AC$16*'TR TUSD'!$AC$60</f>
        <v>31.719459000970009</v>
      </c>
      <c r="AD16" s="13">
        <f>SUM($AC$16:$AC$16)</f>
        <v>31.719459000970009</v>
      </c>
      <c r="AE16" s="13">
        <v>0</v>
      </c>
      <c r="AF16" s="13">
        <v>0</v>
      </c>
      <c r="AG16" s="13">
        <f>SUM($AE$16:$AF$16)</f>
        <v>0</v>
      </c>
      <c r="AH16" s="13">
        <f>'TR TUSD'!$AH$16*'TR TUSD'!$AH$60</f>
        <v>0</v>
      </c>
      <c r="AI16" s="13">
        <f>'TR TUSD'!$AI$16*'TR TUSD'!$AI$60</f>
        <v>0</v>
      </c>
      <c r="AJ16" s="13">
        <f ca="1">'TR TUSD'!$AJ$16*'TR TUSD'!$AJ$60</f>
        <v>0</v>
      </c>
      <c r="AK16" s="13">
        <f ca="1">'TR TUSD'!$AK$16*'TR TUSD'!$AK$60</f>
        <v>0</v>
      </c>
      <c r="AL16" s="13">
        <f ca="1">SUM($AH$16:$AK$16)</f>
        <v>0</v>
      </c>
      <c r="AM16" s="13">
        <f ca="1">SUMIF($L$4:$AL$4,"SUBTOTAL",$L$16:$AL$16)</f>
        <v>31.730157729500796</v>
      </c>
      <c r="AP16" s="13"/>
    </row>
    <row r="17" spans="1:42" ht="11.25" customHeight="1" x14ac:dyDescent="0.25">
      <c r="A17" s="103" t="s">
        <v>22</v>
      </c>
      <c r="B17" s="103" t="s">
        <v>76</v>
      </c>
      <c r="C17" s="103" t="s">
        <v>24</v>
      </c>
      <c r="D17" s="103" t="s">
        <v>24</v>
      </c>
      <c r="E17" s="103" t="s">
        <v>25</v>
      </c>
      <c r="F17" s="103" t="s">
        <v>25</v>
      </c>
      <c r="G17" s="24" t="s">
        <v>61</v>
      </c>
      <c r="H17" s="24" t="s">
        <v>60</v>
      </c>
      <c r="I17" s="24">
        <f>'MERCADO TUSD'!$U$14</f>
        <v>0</v>
      </c>
      <c r="J17" s="15"/>
      <c r="L17" s="13">
        <f>'TR TUSD'!$L$17*'TR TUSD'!$L$60</f>
        <v>31.718954004593161</v>
      </c>
      <c r="M17" s="13">
        <f>'TR TUSD'!$M$17*'TR TUSD'!$M$60</f>
        <v>2.3043606176318141</v>
      </c>
      <c r="N17" s="13">
        <f ca="1">'TR TUSD'!$N$17*'TR TUSD'!$N$60</f>
        <v>0</v>
      </c>
      <c r="O17" s="13">
        <f>'TR TUSD'!$O$17*'TR TUSD'!$O$60</f>
        <v>0</v>
      </c>
      <c r="P17" s="13">
        <f>'TR TUSD'!$P$17*'TR TUSD'!$P$60</f>
        <v>0</v>
      </c>
      <c r="Q17" s="13">
        <f>'TR TUSD'!$Q$17*'TR TUSD'!$Q$60</f>
        <v>90.192800461879841</v>
      </c>
      <c r="R17" s="13">
        <f>'TR TUSD'!$R$17*'TR TUSD'!$R$60</f>
        <v>14.263282266658029</v>
      </c>
      <c r="S17" s="13">
        <f>'TR TUSD'!$S$17*'TR TUSD'!$S$60</f>
        <v>0</v>
      </c>
      <c r="T17" s="13">
        <f ca="1">SUM($L$17:$S$17)</f>
        <v>138.47939735076284</v>
      </c>
      <c r="U17" s="13">
        <f>'TR TUSD'!$U$17*'TR TUSD'!$U$60</f>
        <v>0</v>
      </c>
      <c r="V17" s="13">
        <f>'TR TUSD'!$V$17*'TR TUSD'!$V$60</f>
        <v>0</v>
      </c>
      <c r="W17" s="13">
        <f>'TR TUSD'!$W$17*'TR TUSD'!$W$60</f>
        <v>0</v>
      </c>
      <c r="X17" s="13">
        <f>'TR TUSD'!$X$17*'TR TUSD'!$X$60</f>
        <v>0</v>
      </c>
      <c r="Y17" s="13">
        <f>'TR TUSD'!$Y$17*'TR TUSD'!$Y$60</f>
        <v>431.16945700945894</v>
      </c>
      <c r="Z17" s="13">
        <f>'TR TUSD'!$Z$17</f>
        <v>0</v>
      </c>
      <c r="AA17" s="13">
        <f>'TR TUSD'!$AA$17</f>
        <v>0</v>
      </c>
      <c r="AB17" s="13">
        <f>SUM($U$17:$AA$17)</f>
        <v>431.16945700945894</v>
      </c>
      <c r="AC17" s="13">
        <f>'TR TUSD'!$AC$17*'TR TUSD'!$AC$60</f>
        <v>1343.4991371407514</v>
      </c>
      <c r="AD17" s="13">
        <f>SUM($AC$17:$AC$17)</f>
        <v>1343.4991371407514</v>
      </c>
      <c r="AE17" s="13">
        <v>0</v>
      </c>
      <c r="AF17" s="13">
        <v>0</v>
      </c>
      <c r="AG17" s="13">
        <f>SUM($AE$17:$AF$17)</f>
        <v>0</v>
      </c>
      <c r="AH17" s="13">
        <f>'TR TUSD'!$AH$17*'TR TUSD'!$AH$60</f>
        <v>13.110315065948088</v>
      </c>
      <c r="AI17" s="13">
        <f>'TR TUSD'!$AI$17*'TR TUSD'!$AI$60</f>
        <v>0</v>
      </c>
      <c r="AJ17" s="13">
        <f ca="1">'TR TUSD'!$AJ$17*'TR TUSD'!$AJ$60</f>
        <v>0</v>
      </c>
      <c r="AK17" s="13">
        <f ca="1">'TR TUSD'!$AK$17*'TR TUSD'!$AK$60</f>
        <v>0</v>
      </c>
      <c r="AL17" s="13">
        <f ca="1">SUM($AH$17:$AK$17)</f>
        <v>13.110315065948088</v>
      </c>
      <c r="AM17" s="13">
        <f ca="1">SUMIF($L$4:$AL$4,"SUBTOTAL",$L$17:$AL$17)</f>
        <v>1926.2583065669212</v>
      </c>
      <c r="AP17" s="13">
        <v>1</v>
      </c>
    </row>
    <row r="18" spans="1:42" ht="11.25" customHeight="1" x14ac:dyDescent="0.25">
      <c r="A18" s="103"/>
      <c r="B18" s="103"/>
      <c r="C18" s="103"/>
      <c r="D18" s="103"/>
      <c r="E18" s="103"/>
      <c r="F18" s="103"/>
      <c r="G18" s="24" t="s">
        <v>74</v>
      </c>
      <c r="H18" s="24" t="s">
        <v>60</v>
      </c>
      <c r="I18" s="24">
        <f>'MERCADO TUSD'!$U$15</f>
        <v>0</v>
      </c>
      <c r="J18" s="15"/>
      <c r="L18" s="13">
        <f>'TR TUSD'!$L$18*'TR TUSD'!$L$60</f>
        <v>31.718954004593161</v>
      </c>
      <c r="M18" s="13">
        <f>'TR TUSD'!$M$18*'TR TUSD'!$M$60</f>
        <v>2.3043606176318141</v>
      </c>
      <c r="N18" s="13">
        <f ca="1">'TR TUSD'!$N$18*'TR TUSD'!$N$60</f>
        <v>0</v>
      </c>
      <c r="O18" s="13">
        <f>'TR TUSD'!$O$18*'TR TUSD'!$O$60</f>
        <v>0</v>
      </c>
      <c r="P18" s="13">
        <f>'TR TUSD'!$P$18*'TR TUSD'!$P$60</f>
        <v>0</v>
      </c>
      <c r="Q18" s="13">
        <f>'TR TUSD'!$Q$18*'TR TUSD'!$Q$60</f>
        <v>90.192800461879841</v>
      </c>
      <c r="R18" s="13">
        <f>'TR TUSD'!$R$18*'TR TUSD'!$R$60</f>
        <v>14.263282266658029</v>
      </c>
      <c r="S18" s="13">
        <f>'TR TUSD'!$S$18*'TR TUSD'!$S$60</f>
        <v>0</v>
      </c>
      <c r="T18" s="13">
        <f ca="1">SUM($L$18:$S$18)</f>
        <v>138.47939735076284</v>
      </c>
      <c r="U18" s="13">
        <f>'TR TUSD'!$U$18*'TR TUSD'!$U$60</f>
        <v>0</v>
      </c>
      <c r="V18" s="13">
        <f>'TR TUSD'!$V$18*'TR TUSD'!$V$60</f>
        <v>0</v>
      </c>
      <c r="W18" s="13">
        <f>'TR TUSD'!$W$18*'TR TUSD'!$W$60</f>
        <v>0</v>
      </c>
      <c r="X18" s="13">
        <f>'TR TUSD'!$X$18*'TR TUSD'!$X$60</f>
        <v>0</v>
      </c>
      <c r="Y18" s="13">
        <f>'TR TUSD'!$Y$18*'TR TUSD'!$Y$60</f>
        <v>258.70165091638307</v>
      </c>
      <c r="Z18" s="13">
        <f>'TR TUSD'!$Z$18</f>
        <v>0</v>
      </c>
      <c r="AA18" s="13">
        <f>'TR TUSD'!$AA$18</f>
        <v>0</v>
      </c>
      <c r="AB18" s="13">
        <f>SUM($U$18:$AA$18)</f>
        <v>258.70165091638307</v>
      </c>
      <c r="AC18" s="13">
        <f>'TR TUSD'!$AC$18*'TR TUSD'!$AC$60</f>
        <v>806.0998845774119</v>
      </c>
      <c r="AD18" s="13">
        <f>SUM($AC$18:$AC$18)</f>
        <v>806.0998845774119</v>
      </c>
      <c r="AE18" s="13">
        <v>0</v>
      </c>
      <c r="AF18" s="13">
        <v>0</v>
      </c>
      <c r="AG18" s="13">
        <f>SUM($AE$18:$AF$18)</f>
        <v>0</v>
      </c>
      <c r="AH18" s="13">
        <f>'TR TUSD'!$AH$18*'TR TUSD'!$AH$60</f>
        <v>13.110315065948088</v>
      </c>
      <c r="AI18" s="13">
        <f>'TR TUSD'!$AI$18*'TR TUSD'!$AI$60</f>
        <v>0</v>
      </c>
      <c r="AJ18" s="13">
        <f ca="1">'TR TUSD'!$AJ$18*'TR TUSD'!$AJ$60</f>
        <v>0</v>
      </c>
      <c r="AK18" s="13">
        <f ca="1">'TR TUSD'!$AK$18*'TR TUSD'!$AK$60</f>
        <v>0</v>
      </c>
      <c r="AL18" s="13">
        <f ca="1">SUM($AH$18:$AK$18)</f>
        <v>13.110315065948088</v>
      </c>
      <c r="AM18" s="13">
        <f ca="1">SUMIF($L$4:$AL$4,"SUBTOTAL",$L$18:$AL$18)</f>
        <v>1216.3912479105059</v>
      </c>
      <c r="AP18" s="13">
        <v>1</v>
      </c>
    </row>
    <row r="19" spans="1:42" ht="11.25" customHeight="1" x14ac:dyDescent="0.25">
      <c r="A19" s="103"/>
      <c r="B19" s="103"/>
      <c r="C19" s="103"/>
      <c r="D19" s="103"/>
      <c r="E19" s="103"/>
      <c r="F19" s="103"/>
      <c r="G19" s="24" t="s">
        <v>62</v>
      </c>
      <c r="H19" s="24" t="s">
        <v>60</v>
      </c>
      <c r="I19" s="24">
        <f>'MERCADO TUSD'!$U$16</f>
        <v>0</v>
      </c>
      <c r="J19" s="15"/>
      <c r="L19" s="13">
        <f>'TR TUSD'!$L$19*'TR TUSD'!$L$60</f>
        <v>31.718954004593161</v>
      </c>
      <c r="M19" s="13">
        <f>'TR TUSD'!$M$19*'TR TUSD'!$M$60</f>
        <v>2.3043606176318141</v>
      </c>
      <c r="N19" s="13">
        <f ca="1">'TR TUSD'!$N$19*'TR TUSD'!$N$60</f>
        <v>0</v>
      </c>
      <c r="O19" s="13">
        <f>'TR TUSD'!$O$19*'TR TUSD'!$O$60</f>
        <v>0</v>
      </c>
      <c r="P19" s="13">
        <f>'TR TUSD'!$P$19*'TR TUSD'!$P$60</f>
        <v>0</v>
      </c>
      <c r="Q19" s="13">
        <f>'TR TUSD'!$Q$19*'TR TUSD'!$Q$60</f>
        <v>90.192800461879841</v>
      </c>
      <c r="R19" s="13">
        <f>'TR TUSD'!$R$19*'TR TUSD'!$R$60</f>
        <v>14.263282266658029</v>
      </c>
      <c r="S19" s="13">
        <f>'TR TUSD'!$S$19*'TR TUSD'!$S$60</f>
        <v>0</v>
      </c>
      <c r="T19" s="13">
        <f ca="1">SUM($L$19:$S$19)</f>
        <v>138.47939735076284</v>
      </c>
      <c r="U19" s="13">
        <f>'TR TUSD'!$U$19*'TR TUSD'!$U$60</f>
        <v>0</v>
      </c>
      <c r="V19" s="13">
        <f>'TR TUSD'!$V$19*'TR TUSD'!$V$60</f>
        <v>0</v>
      </c>
      <c r="W19" s="13">
        <f>'TR TUSD'!$W$19*'TR TUSD'!$W$60</f>
        <v>0</v>
      </c>
      <c r="X19" s="13">
        <f>'TR TUSD'!$X$19*'TR TUSD'!$X$60</f>
        <v>0</v>
      </c>
      <c r="Y19" s="13">
        <f>'TR TUSD'!$Y$19*'TR TUSD'!$Y$60</f>
        <v>86.312679077735197</v>
      </c>
      <c r="Z19" s="13">
        <f>'TR TUSD'!$Z$19</f>
        <v>0</v>
      </c>
      <c r="AA19" s="13">
        <f>'TR TUSD'!$AA$19</f>
        <v>0</v>
      </c>
      <c r="AB19" s="13">
        <f>SUM($U$19:$AA$19)</f>
        <v>86.312679077735197</v>
      </c>
      <c r="AC19" s="13">
        <f>'TR TUSD'!$AC$19*'TR TUSD'!$AC$60</f>
        <v>268.69962628166979</v>
      </c>
      <c r="AD19" s="13">
        <f>SUM($AC$19:$AC$19)</f>
        <v>268.69962628166979</v>
      </c>
      <c r="AE19" s="13">
        <v>0</v>
      </c>
      <c r="AF19" s="13">
        <v>0</v>
      </c>
      <c r="AG19" s="13">
        <f>SUM($AE$19:$AF$19)</f>
        <v>0</v>
      </c>
      <c r="AH19" s="13">
        <f>'TR TUSD'!$AH$19*'TR TUSD'!$AH$60</f>
        <v>13.110315065948088</v>
      </c>
      <c r="AI19" s="13">
        <f>'TR TUSD'!$AI$19*'TR TUSD'!$AI$60</f>
        <v>0</v>
      </c>
      <c r="AJ19" s="13">
        <f ca="1">'TR TUSD'!$AJ$19*'TR TUSD'!$AJ$60</f>
        <v>0</v>
      </c>
      <c r="AK19" s="13">
        <f ca="1">'TR TUSD'!$AK$19*'TR TUSD'!$AK$60</f>
        <v>0</v>
      </c>
      <c r="AL19" s="13">
        <f ca="1">SUM($AH$19:$AK$19)</f>
        <v>13.110315065948088</v>
      </c>
      <c r="AM19" s="13">
        <f ca="1">SUMIF($L$4:$AL$4,"SUBTOTAL",$L$19:$AL$19)</f>
        <v>506.60201777611593</v>
      </c>
      <c r="AP19" s="13">
        <v>1</v>
      </c>
    </row>
    <row r="20" spans="1:42" ht="11.25" customHeight="1" x14ac:dyDescent="0.25">
      <c r="A20" s="103"/>
      <c r="B20" s="103" t="s">
        <v>23</v>
      </c>
      <c r="C20" s="103" t="s">
        <v>24</v>
      </c>
      <c r="D20" s="23" t="s">
        <v>24</v>
      </c>
      <c r="E20" s="23" t="s">
        <v>25</v>
      </c>
      <c r="F20" s="23" t="s">
        <v>25</v>
      </c>
      <c r="G20" s="24" t="s">
        <v>67</v>
      </c>
      <c r="H20" s="24" t="s">
        <v>60</v>
      </c>
      <c r="I20" s="24">
        <f>'MERCADO TUSD'!$U$17</f>
        <v>3454.3520000000003</v>
      </c>
      <c r="J20" s="15"/>
      <c r="L20" s="13">
        <f>'TR TUSD'!$L$20*'TR TUSD'!$L$60</f>
        <v>31.718954004593161</v>
      </c>
      <c r="M20" s="13">
        <f>'TR TUSD'!$M$20*'TR TUSD'!$M$60</f>
        <v>2.3043606176318141</v>
      </c>
      <c r="N20" s="13">
        <f ca="1">'TR TUSD'!$N$20*'TR TUSD'!$N$60</f>
        <v>0</v>
      </c>
      <c r="O20" s="13">
        <f>'TR TUSD'!$O$20*'TR TUSD'!$O$60</f>
        <v>0</v>
      </c>
      <c r="P20" s="13">
        <f>'TR TUSD'!$P$20*'TR TUSD'!$P$60</f>
        <v>0</v>
      </c>
      <c r="Q20" s="13">
        <f>'TR TUSD'!$Q$20*'TR TUSD'!$Q$60</f>
        <v>90.192800461879841</v>
      </c>
      <c r="R20" s="13">
        <f>'TR TUSD'!$R$20*'TR TUSD'!$R$60</f>
        <v>14.263282266658029</v>
      </c>
      <c r="S20" s="13">
        <f>'TR TUSD'!$S$20*'TR TUSD'!$S$60</f>
        <v>0</v>
      </c>
      <c r="T20" s="13">
        <f ca="1">SUM($L$20:$S$20)</f>
        <v>138.47939735076284</v>
      </c>
      <c r="U20" s="13">
        <f>'TR TUSD'!$U$20*'TR TUSD'!$U$60</f>
        <v>0</v>
      </c>
      <c r="V20" s="13">
        <f>'TR TUSD'!$V$20*'TR TUSD'!$V$60</f>
        <v>0</v>
      </c>
      <c r="W20" s="13">
        <f>'TR TUSD'!$W$20*'TR TUSD'!$W$60</f>
        <v>0</v>
      </c>
      <c r="X20" s="13">
        <f>'TR TUSD'!$X$20*'TR TUSD'!$X$60</f>
        <v>0</v>
      </c>
      <c r="Y20" s="13">
        <f>'TR TUSD'!$Y$20*'TR TUSD'!$Y$60</f>
        <v>159.61945287177366</v>
      </c>
      <c r="Z20" s="13">
        <f>'TR TUSD'!$Z$20</f>
        <v>0</v>
      </c>
      <c r="AA20" s="13">
        <f>'TR TUSD'!$AA$20</f>
        <v>0</v>
      </c>
      <c r="AB20" s="13">
        <f>SUM($U$20:$AA$20)</f>
        <v>159.61945287177366</v>
      </c>
      <c r="AC20" s="13">
        <f>'TR TUSD'!$AC$20*'TR TUSD'!$AC$60</f>
        <v>497.59236406905552</v>
      </c>
      <c r="AD20" s="13">
        <f>SUM($AC$20:$AC$20)</f>
        <v>497.59236406905552</v>
      </c>
      <c r="AE20" s="13">
        <v>0</v>
      </c>
      <c r="AF20" s="13">
        <v>0</v>
      </c>
      <c r="AG20" s="13">
        <f>SUM($AE$20:$AF$20)</f>
        <v>0</v>
      </c>
      <c r="AH20" s="13">
        <f>'TR TUSD'!$AH$20*'TR TUSD'!$AH$60</f>
        <v>13.110315065948088</v>
      </c>
      <c r="AI20" s="13">
        <f>'TR TUSD'!$AI$20*'TR TUSD'!$AI$60</f>
        <v>0</v>
      </c>
      <c r="AJ20" s="13">
        <f ca="1">'TR TUSD'!$AJ$20*'TR TUSD'!$AJ$60</f>
        <v>0</v>
      </c>
      <c r="AK20" s="13">
        <f ca="1">'TR TUSD'!$AK$20*'TR TUSD'!$AK$60</f>
        <v>0</v>
      </c>
      <c r="AL20" s="13">
        <f ca="1">SUM($AH$20:$AK$20)</f>
        <v>13.110315065948088</v>
      </c>
      <c r="AM20" s="13">
        <f ca="1">SUMIF($L$4:$AL$4,"SUBTOTAL",$L$20:$AL$20)</f>
        <v>808.80152935754006</v>
      </c>
      <c r="AP20" s="13">
        <v>1</v>
      </c>
    </row>
    <row r="21" spans="1:42" ht="11.25" customHeight="1" x14ac:dyDescent="0.25">
      <c r="A21" s="103"/>
      <c r="B21" s="103"/>
      <c r="C21" s="103"/>
      <c r="D21" s="23" t="s">
        <v>41</v>
      </c>
      <c r="E21" s="23" t="s">
        <v>25</v>
      </c>
      <c r="F21" s="23" t="s">
        <v>25</v>
      </c>
      <c r="G21" s="24" t="s">
        <v>67</v>
      </c>
      <c r="H21" s="24" t="s">
        <v>60</v>
      </c>
      <c r="I21" s="24">
        <f>'MERCADO TUSD'!$U$18</f>
        <v>0.48000000000000009</v>
      </c>
      <c r="J21" s="15"/>
      <c r="L21" s="13">
        <f>'TR TUSD'!$L$21*'TR TUSD'!$L$60</f>
        <v>0</v>
      </c>
      <c r="M21" s="13">
        <f>'TR TUSD'!$M$21*'TR TUSD'!$M$60</f>
        <v>2.3043606176318141</v>
      </c>
      <c r="N21" s="13">
        <f ca="1">'TR TUSD'!$N$21*'TR TUSD'!$N$60</f>
        <v>0</v>
      </c>
      <c r="O21" s="13">
        <f>'TR TUSD'!$O$21*'TR TUSD'!$O$60</f>
        <v>0</v>
      </c>
      <c r="P21" s="13">
        <f>'TR TUSD'!$P$21*'TR TUSD'!$P$60</f>
        <v>0</v>
      </c>
      <c r="Q21" s="13">
        <f>'TR TUSD'!$Q$21*'TR TUSD'!$Q$60</f>
        <v>0</v>
      </c>
      <c r="R21" s="13">
        <f>'TR TUSD'!$R$21*'TR TUSD'!$R$60</f>
        <v>0</v>
      </c>
      <c r="S21" s="13">
        <f>'TR TUSD'!$S$21*'TR TUSD'!$S$60</f>
        <v>0</v>
      </c>
      <c r="T21" s="13">
        <f ca="1">SUM($L$21:$S$21)</f>
        <v>2.3043606176318141</v>
      </c>
      <c r="U21" s="13">
        <f>'TR TUSD'!$U$21*'TR TUSD'!$U$60</f>
        <v>0</v>
      </c>
      <c r="V21" s="13">
        <f>'TR TUSD'!$V$21*'TR TUSD'!$V$60</f>
        <v>0</v>
      </c>
      <c r="W21" s="13">
        <f>'TR TUSD'!$W$21*'TR TUSD'!$W$60</f>
        <v>0</v>
      </c>
      <c r="X21" s="13">
        <f>'TR TUSD'!$X$21*'TR TUSD'!$X$60</f>
        <v>0</v>
      </c>
      <c r="Y21" s="13">
        <f>'TR TUSD'!$Y$21*'TR TUSD'!$Y$60</f>
        <v>159.61945287177366</v>
      </c>
      <c r="Z21" s="13">
        <f>'TR TUSD'!$Z$21</f>
        <v>0</v>
      </c>
      <c r="AA21" s="13">
        <f>'TR TUSD'!$AA$21</f>
        <v>0</v>
      </c>
      <c r="AB21" s="13">
        <f>SUM($U$21:$AA$21)</f>
        <v>159.61945287177366</v>
      </c>
      <c r="AC21" s="13">
        <f>'TR TUSD'!$AC$21*'TR TUSD'!$AC$60</f>
        <v>497.59236406905552</v>
      </c>
      <c r="AD21" s="13">
        <f>SUM($AC$21:$AC$21)</f>
        <v>497.59236406905552</v>
      </c>
      <c r="AE21" s="13">
        <v>0</v>
      </c>
      <c r="AF21" s="13">
        <v>0</v>
      </c>
      <c r="AG21" s="13">
        <f>SUM($AE$21:$AF$21)</f>
        <v>0</v>
      </c>
      <c r="AH21" s="13">
        <f>'TR TUSD'!$AH$21*'TR TUSD'!$AH$60</f>
        <v>13.110315065948088</v>
      </c>
      <c r="AI21" s="13">
        <f>'TR TUSD'!$AI$21*'TR TUSD'!$AI$60</f>
        <v>0</v>
      </c>
      <c r="AJ21" s="13">
        <f ca="1">'TR TUSD'!$AJ$21*'TR TUSD'!$AJ$60</f>
        <v>0</v>
      </c>
      <c r="AK21" s="13">
        <f ca="1">'TR TUSD'!$AK$21*'TR TUSD'!$AK$60</f>
        <v>0</v>
      </c>
      <c r="AL21" s="13">
        <f ca="1">SUM($AH$21:$AK$21)</f>
        <v>13.110315065948088</v>
      </c>
      <c r="AM21" s="13">
        <f ca="1">SUMIF($L$4:$AL$4,"SUBTOTAL",$L$21:$AL$21)</f>
        <v>672.62649262440902</v>
      </c>
      <c r="AP21" s="13">
        <f>IF((1 - CUSTOS!$M$24)&lt;&gt;0,1/(1 - CUSTOS!$M$24),1)</f>
        <v>1</v>
      </c>
    </row>
    <row r="22" spans="1:42" ht="11.25" customHeight="1" x14ac:dyDescent="0.25">
      <c r="A22" s="103"/>
      <c r="B22" s="103"/>
      <c r="C22" s="103"/>
      <c r="D22" s="23" t="s">
        <v>42</v>
      </c>
      <c r="E22" s="23" t="s">
        <v>25</v>
      </c>
      <c r="F22" s="23" t="s">
        <v>25</v>
      </c>
      <c r="G22" s="24" t="s">
        <v>67</v>
      </c>
      <c r="H22" s="24" t="s">
        <v>60</v>
      </c>
      <c r="I22" s="24">
        <f>'MERCADO TUSD'!$U$19</f>
        <v>7.3130000000000006</v>
      </c>
      <c r="J22" s="15"/>
      <c r="L22" s="13">
        <f>'TR TUSD'!$L$22*'TR TUSD'!$L$60</f>
        <v>0</v>
      </c>
      <c r="M22" s="13">
        <f>'TR TUSD'!$M$22*'TR TUSD'!$M$60</f>
        <v>2.3043606176318141</v>
      </c>
      <c r="N22" s="13">
        <f ca="1">'TR TUSD'!$N$22*'TR TUSD'!$N$60</f>
        <v>0</v>
      </c>
      <c r="O22" s="13">
        <f>'TR TUSD'!$O$22*'TR TUSD'!$O$60</f>
        <v>0</v>
      </c>
      <c r="P22" s="13">
        <f>'TR TUSD'!$P$22*'TR TUSD'!$P$60</f>
        <v>0</v>
      </c>
      <c r="Q22" s="13">
        <f>'TR TUSD'!$Q$22*'TR TUSD'!$Q$60</f>
        <v>0</v>
      </c>
      <c r="R22" s="13">
        <f>'TR TUSD'!$R$22*'TR TUSD'!$R$60</f>
        <v>0</v>
      </c>
      <c r="S22" s="13">
        <f>'TR TUSD'!$S$22*'TR TUSD'!$S$60</f>
        <v>0</v>
      </c>
      <c r="T22" s="13">
        <f ca="1">SUM($L$22:$S$22)</f>
        <v>2.3043606176318141</v>
      </c>
      <c r="U22" s="13">
        <f>'TR TUSD'!$U$22*'TR TUSD'!$U$60</f>
        <v>0</v>
      </c>
      <c r="V22" s="13">
        <f>'TR TUSD'!$V$22*'TR TUSD'!$V$60</f>
        <v>0</v>
      </c>
      <c r="W22" s="13">
        <f>'TR TUSD'!$W$22*'TR TUSD'!$W$60</f>
        <v>0</v>
      </c>
      <c r="X22" s="13">
        <f>'TR TUSD'!$X$22*'TR TUSD'!$X$60</f>
        <v>0</v>
      </c>
      <c r="Y22" s="13">
        <f>'TR TUSD'!$Y$22*'TR TUSD'!$Y$60</f>
        <v>159.61945287177366</v>
      </c>
      <c r="Z22" s="13">
        <f>'TR TUSD'!$Z$22</f>
        <v>0</v>
      </c>
      <c r="AA22" s="13">
        <f>'TR TUSD'!$AA$22</f>
        <v>0</v>
      </c>
      <c r="AB22" s="13">
        <f>SUM($U$22:$AA$22)</f>
        <v>159.61945287177366</v>
      </c>
      <c r="AC22" s="13">
        <f>'TR TUSD'!$AC$22*'TR TUSD'!$AC$60</f>
        <v>497.59236406905552</v>
      </c>
      <c r="AD22" s="13">
        <f>SUM($AC$22:$AC$22)</f>
        <v>497.59236406905552</v>
      </c>
      <c r="AE22" s="13">
        <v>0</v>
      </c>
      <c r="AF22" s="13">
        <v>0</v>
      </c>
      <c r="AG22" s="13">
        <f>SUM($AE$22:$AF$22)</f>
        <v>0</v>
      </c>
      <c r="AH22" s="13">
        <f>'TR TUSD'!$AH$22*'TR TUSD'!$AH$60</f>
        <v>13.110315065948088</v>
      </c>
      <c r="AI22" s="13">
        <f>'TR TUSD'!$AI$22*'TR TUSD'!$AI$60</f>
        <v>0</v>
      </c>
      <c r="AJ22" s="13">
        <f ca="1">'TR TUSD'!$AJ$22*'TR TUSD'!$AJ$60</f>
        <v>0</v>
      </c>
      <c r="AK22" s="13">
        <f ca="1">'TR TUSD'!$AK$22*'TR TUSD'!$AK$60</f>
        <v>0</v>
      </c>
      <c r="AL22" s="13">
        <f ca="1">SUM($AH$22:$AK$22)</f>
        <v>13.110315065948088</v>
      </c>
      <c r="AM22" s="13">
        <f ca="1">SUMIF($L$4:$AL$4,"SUBTOTAL",$L$22:$AL$22)</f>
        <v>672.62649262440902</v>
      </c>
      <c r="AP22" s="13">
        <f>IF((1 - CUSTOS!$M$25)&lt;&gt;0,1/(1 - CUSTOS!$M$25),1)</f>
        <v>1</v>
      </c>
    </row>
    <row r="23" spans="1:42" ht="11.25" customHeight="1" x14ac:dyDescent="0.25">
      <c r="A23" s="103"/>
      <c r="B23" s="103"/>
      <c r="C23" s="103"/>
      <c r="D23" s="23" t="s">
        <v>39</v>
      </c>
      <c r="E23" s="23" t="s">
        <v>25</v>
      </c>
      <c r="F23" s="23" t="s">
        <v>25</v>
      </c>
      <c r="G23" s="24" t="s">
        <v>67</v>
      </c>
      <c r="H23" s="24" t="s">
        <v>60</v>
      </c>
      <c r="I23" s="24">
        <f>'MERCADO TUSD'!$U$20</f>
        <v>77.287999999999997</v>
      </c>
      <c r="J23" s="15"/>
      <c r="L23" s="13">
        <f>'TR TUSD'!$L$23*'TR TUSD'!$L$60</f>
        <v>0</v>
      </c>
      <c r="M23" s="13">
        <f>'TR TUSD'!$M$23*'TR TUSD'!$M$60</f>
        <v>2.3043606176318141</v>
      </c>
      <c r="N23" s="13">
        <f ca="1">'TR TUSD'!$N$23*'TR TUSD'!$N$60</f>
        <v>0</v>
      </c>
      <c r="O23" s="13">
        <f>'TR TUSD'!$O$23*'TR TUSD'!$O$60</f>
        <v>0</v>
      </c>
      <c r="P23" s="13">
        <f>'TR TUSD'!$P$23*'TR TUSD'!$P$60</f>
        <v>0</v>
      </c>
      <c r="Q23" s="13">
        <f>'TR TUSD'!$Q$23*'TR TUSD'!$Q$60</f>
        <v>0</v>
      </c>
      <c r="R23" s="13">
        <f>'TR TUSD'!$R$23*'TR TUSD'!$R$60</f>
        <v>0</v>
      </c>
      <c r="S23" s="13">
        <f>'TR TUSD'!$S$23*'TR TUSD'!$S$60</f>
        <v>0</v>
      </c>
      <c r="T23" s="13">
        <f ca="1">SUM($L$23:$S$23)</f>
        <v>2.3043606176318141</v>
      </c>
      <c r="U23" s="13">
        <f>'TR TUSD'!$U$23*'TR TUSD'!$U$60</f>
        <v>0</v>
      </c>
      <c r="V23" s="13">
        <f>'TR TUSD'!$V$23*'TR TUSD'!$V$60</f>
        <v>0</v>
      </c>
      <c r="W23" s="13">
        <f>'TR TUSD'!$W$23*'TR TUSD'!$W$60</f>
        <v>0</v>
      </c>
      <c r="X23" s="13">
        <f>'TR TUSD'!$X$23*'TR TUSD'!$X$60</f>
        <v>0</v>
      </c>
      <c r="Y23" s="13">
        <f>'TR TUSD'!$Y$23*'TR TUSD'!$Y$60</f>
        <v>159.61945287177366</v>
      </c>
      <c r="Z23" s="13">
        <f>'TR TUSD'!$Z$23</f>
        <v>0</v>
      </c>
      <c r="AA23" s="13">
        <f>'TR TUSD'!$AA$23</f>
        <v>0</v>
      </c>
      <c r="AB23" s="13">
        <f>SUM($U$23:$AA$23)</f>
        <v>159.61945287177366</v>
      </c>
      <c r="AC23" s="13">
        <f>'TR TUSD'!$AC$23*'TR TUSD'!$AC$60</f>
        <v>497.59236406905552</v>
      </c>
      <c r="AD23" s="13">
        <f>SUM($AC$23:$AC$23)</f>
        <v>497.59236406905552</v>
      </c>
      <c r="AE23" s="13">
        <v>0</v>
      </c>
      <c r="AF23" s="13">
        <v>0</v>
      </c>
      <c r="AG23" s="13">
        <f>SUM($AE$23:$AF$23)</f>
        <v>0</v>
      </c>
      <c r="AH23" s="13">
        <f>'TR TUSD'!$AH$23*'TR TUSD'!$AH$60</f>
        <v>13.110315065948088</v>
      </c>
      <c r="AI23" s="13">
        <f>'TR TUSD'!$AI$23*'TR TUSD'!$AI$60</f>
        <v>0</v>
      </c>
      <c r="AJ23" s="13">
        <f ca="1">'TR TUSD'!$AJ$23*'TR TUSD'!$AJ$60</f>
        <v>0</v>
      </c>
      <c r="AK23" s="13">
        <f ca="1">'TR TUSD'!$AK$23*'TR TUSD'!$AK$60</f>
        <v>0</v>
      </c>
      <c r="AL23" s="13">
        <f ca="1">SUM($AH$23:$AK$23)</f>
        <v>13.110315065948088</v>
      </c>
      <c r="AM23" s="13">
        <f ca="1">SUMIF($L$4:$AL$4,"SUBTOTAL",$L$23:$AL$23)</f>
        <v>672.62649262440902</v>
      </c>
      <c r="AP23" s="13">
        <f>IF((1 - CUSTOS!$M$26)&lt;&gt;0,1/(1 - CUSTOS!$M$26),1)</f>
        <v>1</v>
      </c>
    </row>
    <row r="24" spans="1:42" ht="11.25" customHeight="1" x14ac:dyDescent="0.25">
      <c r="A24" s="103"/>
      <c r="B24" s="103"/>
      <c r="C24" s="103"/>
      <c r="D24" s="23" t="s">
        <v>40</v>
      </c>
      <c r="E24" s="23" t="s">
        <v>25</v>
      </c>
      <c r="F24" s="23" t="s">
        <v>25</v>
      </c>
      <c r="G24" s="24" t="s">
        <v>67</v>
      </c>
      <c r="H24" s="24" t="s">
        <v>60</v>
      </c>
      <c r="I24" s="24">
        <f>'MERCADO TUSD'!$U$21</f>
        <v>81.510999999999996</v>
      </c>
      <c r="J24" s="15"/>
      <c r="L24" s="13">
        <f>'TR TUSD'!$L$24*'TR TUSD'!$L$60</f>
        <v>0</v>
      </c>
      <c r="M24" s="13">
        <f>'TR TUSD'!$M$24*'TR TUSD'!$M$60</f>
        <v>2.3043606176318141</v>
      </c>
      <c r="N24" s="13">
        <f ca="1">'TR TUSD'!$N$24*'TR TUSD'!$N$60</f>
        <v>0</v>
      </c>
      <c r="O24" s="13">
        <f>'TR TUSD'!$O$24*'TR TUSD'!$O$60</f>
        <v>0</v>
      </c>
      <c r="P24" s="13">
        <f>'TR TUSD'!$P$24*'TR TUSD'!$P$60</f>
        <v>0</v>
      </c>
      <c r="Q24" s="13">
        <f>'TR TUSD'!$Q$24*'TR TUSD'!$Q$60</f>
        <v>0</v>
      </c>
      <c r="R24" s="13">
        <f>'TR TUSD'!$R$24*'TR TUSD'!$R$60</f>
        <v>0</v>
      </c>
      <c r="S24" s="13">
        <f>'TR TUSD'!$S$24*'TR TUSD'!$S$60</f>
        <v>0</v>
      </c>
      <c r="T24" s="13">
        <f ca="1">SUM($L$24:$S$24)</f>
        <v>2.3043606176318141</v>
      </c>
      <c r="U24" s="13">
        <f>'TR TUSD'!$U$24*'TR TUSD'!$U$60</f>
        <v>0</v>
      </c>
      <c r="V24" s="13">
        <f>'TR TUSD'!$V$24*'TR TUSD'!$V$60</f>
        <v>0</v>
      </c>
      <c r="W24" s="13">
        <f>'TR TUSD'!$W$24*'TR TUSD'!$W$60</f>
        <v>0</v>
      </c>
      <c r="X24" s="13">
        <f>'TR TUSD'!$X$24*'TR TUSD'!$X$60</f>
        <v>0</v>
      </c>
      <c r="Y24" s="13">
        <f>'TR TUSD'!$Y$24*'TR TUSD'!$Y$60</f>
        <v>159.61945287177366</v>
      </c>
      <c r="Z24" s="13">
        <f>'TR TUSD'!$Z$24</f>
        <v>0</v>
      </c>
      <c r="AA24" s="13">
        <f>'TR TUSD'!$AA$24</f>
        <v>0</v>
      </c>
      <c r="AB24" s="13">
        <f>SUM($U$24:$AA$24)</f>
        <v>159.61945287177366</v>
      </c>
      <c r="AC24" s="13">
        <f>'TR TUSD'!$AC$24*'TR TUSD'!$AC$60</f>
        <v>497.59236406905552</v>
      </c>
      <c r="AD24" s="13">
        <f>SUM($AC$24:$AC$24)</f>
        <v>497.59236406905552</v>
      </c>
      <c r="AE24" s="13">
        <v>0</v>
      </c>
      <c r="AF24" s="13">
        <v>0</v>
      </c>
      <c r="AG24" s="13">
        <f>SUM($AE$24:$AF$24)</f>
        <v>0</v>
      </c>
      <c r="AH24" s="13">
        <f>'TR TUSD'!$AH$24*'TR TUSD'!$AH$60</f>
        <v>13.110315065948088</v>
      </c>
      <c r="AI24" s="13">
        <f>'TR TUSD'!$AI$24*'TR TUSD'!$AI$60</f>
        <v>0</v>
      </c>
      <c r="AJ24" s="13">
        <f ca="1">'TR TUSD'!$AJ$24*'TR TUSD'!$AJ$60</f>
        <v>0</v>
      </c>
      <c r="AK24" s="13">
        <f ca="1">'TR TUSD'!$AK$24*'TR TUSD'!$AK$60</f>
        <v>0</v>
      </c>
      <c r="AL24" s="13">
        <f ca="1">SUM($AH$24:$AK$24)</f>
        <v>13.110315065948088</v>
      </c>
      <c r="AM24" s="13">
        <f ca="1">SUMIF($L$4:$AL$4,"SUBTOTAL",$L$24:$AL$24)</f>
        <v>672.62649262440902</v>
      </c>
      <c r="AP24" s="13">
        <f>IF((1 - CUSTOS!$M$27)&lt;&gt;0,1/(1 - CUSTOS!$M$27),1)</f>
        <v>1</v>
      </c>
    </row>
    <row r="25" spans="1:42" ht="11.25" customHeight="1" x14ac:dyDescent="0.25">
      <c r="A25" s="103"/>
      <c r="B25" s="103" t="s">
        <v>78</v>
      </c>
      <c r="C25" s="103" t="s">
        <v>24</v>
      </c>
      <c r="D25" s="23" t="s">
        <v>24</v>
      </c>
      <c r="E25" s="23" t="s">
        <v>25</v>
      </c>
      <c r="F25" s="23" t="s">
        <v>25</v>
      </c>
      <c r="G25" s="24" t="s">
        <v>67</v>
      </c>
      <c r="H25" s="24" t="s">
        <v>60</v>
      </c>
      <c r="I25" s="24">
        <f>'MERCADO TUSD'!$U$22</f>
        <v>0</v>
      </c>
      <c r="J25" s="15"/>
      <c r="L25" s="13">
        <f>'TR TUSD'!$L$25*'TR TUSD'!$L$60</f>
        <v>31.718954004593161</v>
      </c>
      <c r="M25" s="13">
        <f>'TR TUSD'!$M$25*'TR TUSD'!$M$60</f>
        <v>2.3043606176318141</v>
      </c>
      <c r="N25" s="13">
        <f ca="1">'TR TUSD'!$N$25*'TR TUSD'!$N$60</f>
        <v>0</v>
      </c>
      <c r="O25" s="13">
        <f>'TR TUSD'!$O$25*'TR TUSD'!$O$60</f>
        <v>0</v>
      </c>
      <c r="P25" s="13">
        <f>'TR TUSD'!$P$25*'TR TUSD'!$P$60</f>
        <v>0</v>
      </c>
      <c r="Q25" s="13">
        <f>'TR TUSD'!$Q$25*'TR TUSD'!$Q$60</f>
        <v>90.192800461879841</v>
      </c>
      <c r="R25" s="13">
        <f>'TR TUSD'!$R$25*'TR TUSD'!$R$60</f>
        <v>14.263282266658029</v>
      </c>
      <c r="S25" s="13">
        <f>'TR TUSD'!$S$25*'TR TUSD'!$S$60</f>
        <v>0</v>
      </c>
      <c r="T25" s="13">
        <f ca="1">SUM($L$25:$S$25)</f>
        <v>138.47939735076284</v>
      </c>
      <c r="U25" s="13">
        <f>'TR TUSD'!$U$25*'TR TUSD'!$U$60</f>
        <v>0</v>
      </c>
      <c r="V25" s="13">
        <f>'TR TUSD'!$V$25*'TR TUSD'!$V$60</f>
        <v>0</v>
      </c>
      <c r="W25" s="13">
        <f>'TR TUSD'!$W$25*'TR TUSD'!$W$60</f>
        <v>0</v>
      </c>
      <c r="X25" s="13">
        <f>'TR TUSD'!$X$25*'TR TUSD'!$X$60</f>
        <v>0</v>
      </c>
      <c r="Y25" s="13">
        <f>'TR TUSD'!$Y$25*'TR TUSD'!$Y$60</f>
        <v>159.61945287177366</v>
      </c>
      <c r="Z25" s="13">
        <f>'TR TUSD'!$Z$25</f>
        <v>0</v>
      </c>
      <c r="AA25" s="13">
        <f>'TR TUSD'!$AA$25</f>
        <v>0</v>
      </c>
      <c r="AB25" s="13">
        <f>SUM($U$25:$AA$25)</f>
        <v>159.61945287177366</v>
      </c>
      <c r="AC25" s="13">
        <f>'TR TUSD'!$AC$25*'TR TUSD'!$AC$60</f>
        <v>497.59236406905552</v>
      </c>
      <c r="AD25" s="13">
        <f>SUM($AC$25:$AC$25)</f>
        <v>497.59236406905552</v>
      </c>
      <c r="AE25" s="13">
        <v>0</v>
      </c>
      <c r="AF25" s="13">
        <v>0</v>
      </c>
      <c r="AG25" s="13">
        <f>SUM($AE$25:$AF$25)</f>
        <v>0</v>
      </c>
      <c r="AH25" s="13">
        <f>'TR TUSD'!$AH$25*'TR TUSD'!$AH$60</f>
        <v>13.110315065948088</v>
      </c>
      <c r="AI25" s="13">
        <f>'TR TUSD'!$AI$25*'TR TUSD'!$AI$60</f>
        <v>0</v>
      </c>
      <c r="AJ25" s="13">
        <f ca="1">'TR TUSD'!$AJ$25*'TR TUSD'!$AJ$60</f>
        <v>0</v>
      </c>
      <c r="AK25" s="13">
        <f ca="1">'TR TUSD'!$AK$25*'TR TUSD'!$AK$60</f>
        <v>0</v>
      </c>
      <c r="AL25" s="13">
        <f ca="1">SUM($AH$25:$AK$25)</f>
        <v>13.110315065948088</v>
      </c>
      <c r="AM25" s="13">
        <f ca="1">SUMIF($L$4:$AL$4,"SUBTOTAL",$L$25:$AL$25)</f>
        <v>808.80152935754006</v>
      </c>
      <c r="AP25" s="13">
        <v>1</v>
      </c>
    </row>
    <row r="26" spans="1:42" ht="11.25" customHeight="1" x14ac:dyDescent="0.25">
      <c r="A26" s="103"/>
      <c r="B26" s="103"/>
      <c r="C26" s="103"/>
      <c r="D26" s="23" t="s">
        <v>41</v>
      </c>
      <c r="E26" s="23" t="s">
        <v>25</v>
      </c>
      <c r="F26" s="23" t="s">
        <v>25</v>
      </c>
      <c r="G26" s="24" t="s">
        <v>67</v>
      </c>
      <c r="H26" s="24" t="s">
        <v>60</v>
      </c>
      <c r="I26" s="24">
        <f>'MERCADO TUSD'!$U$23</f>
        <v>0</v>
      </c>
      <c r="J26" s="15"/>
      <c r="L26" s="13">
        <f>'TR TUSD'!$L$26*'TR TUSD'!$L$60</f>
        <v>0</v>
      </c>
      <c r="M26" s="13">
        <f>'TR TUSD'!$M$26*'TR TUSD'!$M$60</f>
        <v>2.3043606176318141</v>
      </c>
      <c r="N26" s="13">
        <f ca="1">'TR TUSD'!$N$26*'TR TUSD'!$N$60</f>
        <v>0</v>
      </c>
      <c r="O26" s="13">
        <f>'TR TUSD'!$O$26*'TR TUSD'!$O$60</f>
        <v>0</v>
      </c>
      <c r="P26" s="13">
        <f>'TR TUSD'!$P$26*'TR TUSD'!$P$60</f>
        <v>0</v>
      </c>
      <c r="Q26" s="13">
        <f>'TR TUSD'!$Q$26*'TR TUSD'!$Q$60</f>
        <v>0</v>
      </c>
      <c r="R26" s="13">
        <f>'TR TUSD'!$R$26*'TR TUSD'!$R$60</f>
        <v>0</v>
      </c>
      <c r="S26" s="13">
        <f>'TR TUSD'!$S$26*'TR TUSD'!$S$60</f>
        <v>0</v>
      </c>
      <c r="T26" s="13">
        <f ca="1">SUM($L$26:$S$26)</f>
        <v>2.3043606176318141</v>
      </c>
      <c r="U26" s="13">
        <f>'TR TUSD'!$U$26*'TR TUSD'!$U$60</f>
        <v>0</v>
      </c>
      <c r="V26" s="13">
        <f>'TR TUSD'!$V$26*'TR TUSD'!$V$60</f>
        <v>0</v>
      </c>
      <c r="W26" s="13">
        <f>'TR TUSD'!$W$26*'TR TUSD'!$W$60</f>
        <v>0</v>
      </c>
      <c r="X26" s="13">
        <f>'TR TUSD'!$X$26*'TR TUSD'!$X$60</f>
        <v>0</v>
      </c>
      <c r="Y26" s="13">
        <f>'TR TUSD'!$Y$26*'TR TUSD'!$Y$60</f>
        <v>159.61945287177366</v>
      </c>
      <c r="Z26" s="13">
        <f>'TR TUSD'!$Z$26</f>
        <v>0</v>
      </c>
      <c r="AA26" s="13">
        <f>'TR TUSD'!$AA$26</f>
        <v>0</v>
      </c>
      <c r="AB26" s="13">
        <f>SUM($U$26:$AA$26)</f>
        <v>159.61945287177366</v>
      </c>
      <c r="AC26" s="13">
        <f>'TR TUSD'!$AC$26*'TR TUSD'!$AC$60</f>
        <v>497.59236406905552</v>
      </c>
      <c r="AD26" s="13">
        <f>SUM($AC$26:$AC$26)</f>
        <v>497.59236406905552</v>
      </c>
      <c r="AE26" s="13">
        <v>0</v>
      </c>
      <c r="AF26" s="13">
        <v>0</v>
      </c>
      <c r="AG26" s="13">
        <f>SUM($AE$26:$AF$26)</f>
        <v>0</v>
      </c>
      <c r="AH26" s="13">
        <f>'TR TUSD'!$AH$26*'TR TUSD'!$AH$60</f>
        <v>13.110315065948088</v>
      </c>
      <c r="AI26" s="13">
        <f>'TR TUSD'!$AI$26*'TR TUSD'!$AI$60</f>
        <v>0</v>
      </c>
      <c r="AJ26" s="13">
        <f ca="1">'TR TUSD'!$AJ$26*'TR TUSD'!$AJ$60</f>
        <v>0</v>
      </c>
      <c r="AK26" s="13">
        <f ca="1">'TR TUSD'!$AK$26*'TR TUSD'!$AK$60</f>
        <v>0</v>
      </c>
      <c r="AL26" s="13">
        <f ca="1">SUM($AH$26:$AK$26)</f>
        <v>13.110315065948088</v>
      </c>
      <c r="AM26" s="13">
        <f ca="1">SUMIF($L$4:$AL$4,"SUBTOTAL",$L$26:$AL$26)</f>
        <v>672.62649262440902</v>
      </c>
      <c r="AP26" s="13">
        <f>IF((1 - CUSTOS!$M$24)&lt;&gt;0,1/(1 - CUSTOS!$M$24),1)</f>
        <v>1</v>
      </c>
    </row>
    <row r="27" spans="1:42" ht="11.25" customHeight="1" x14ac:dyDescent="0.25">
      <c r="A27" s="103"/>
      <c r="B27" s="103"/>
      <c r="C27" s="103"/>
      <c r="D27" s="23" t="s">
        <v>42</v>
      </c>
      <c r="E27" s="23" t="s">
        <v>25</v>
      </c>
      <c r="F27" s="23" t="s">
        <v>25</v>
      </c>
      <c r="G27" s="24" t="s">
        <v>67</v>
      </c>
      <c r="H27" s="24" t="s">
        <v>60</v>
      </c>
      <c r="I27" s="24">
        <f>'MERCADO TUSD'!$U$24</f>
        <v>0</v>
      </c>
      <c r="J27" s="15"/>
      <c r="L27" s="13">
        <f>'TR TUSD'!$L$27*'TR TUSD'!$L$60</f>
        <v>0</v>
      </c>
      <c r="M27" s="13">
        <f>'TR TUSD'!$M$27*'TR TUSD'!$M$60</f>
        <v>2.3043606176318141</v>
      </c>
      <c r="N27" s="13">
        <f ca="1">'TR TUSD'!$N$27*'TR TUSD'!$N$60</f>
        <v>0</v>
      </c>
      <c r="O27" s="13">
        <f>'TR TUSD'!$O$27*'TR TUSD'!$O$60</f>
        <v>0</v>
      </c>
      <c r="P27" s="13">
        <f>'TR TUSD'!$P$27*'TR TUSD'!$P$60</f>
        <v>0</v>
      </c>
      <c r="Q27" s="13">
        <f>'TR TUSD'!$Q$27*'TR TUSD'!$Q$60</f>
        <v>0</v>
      </c>
      <c r="R27" s="13">
        <f>'TR TUSD'!$R$27*'TR TUSD'!$R$60</f>
        <v>0</v>
      </c>
      <c r="S27" s="13">
        <f>'TR TUSD'!$S$27*'TR TUSD'!$S$60</f>
        <v>0</v>
      </c>
      <c r="T27" s="13">
        <f ca="1">SUM($L$27:$S$27)</f>
        <v>2.3043606176318141</v>
      </c>
      <c r="U27" s="13">
        <f>'TR TUSD'!$U$27*'TR TUSD'!$U$60</f>
        <v>0</v>
      </c>
      <c r="V27" s="13">
        <f>'TR TUSD'!$V$27*'TR TUSD'!$V$60</f>
        <v>0</v>
      </c>
      <c r="W27" s="13">
        <f>'TR TUSD'!$W$27*'TR TUSD'!$W$60</f>
        <v>0</v>
      </c>
      <c r="X27" s="13">
        <f>'TR TUSD'!$X$27*'TR TUSD'!$X$60</f>
        <v>0</v>
      </c>
      <c r="Y27" s="13">
        <f>'TR TUSD'!$Y$27*'TR TUSD'!$Y$60</f>
        <v>159.61945287177366</v>
      </c>
      <c r="Z27" s="13">
        <f>'TR TUSD'!$Z$27</f>
        <v>0</v>
      </c>
      <c r="AA27" s="13">
        <f>'TR TUSD'!$AA$27</f>
        <v>0</v>
      </c>
      <c r="AB27" s="13">
        <f>SUM($U$27:$AA$27)</f>
        <v>159.61945287177366</v>
      </c>
      <c r="AC27" s="13">
        <f>'TR TUSD'!$AC$27*'TR TUSD'!$AC$60</f>
        <v>497.59236406905552</v>
      </c>
      <c r="AD27" s="13">
        <f>SUM($AC$27:$AC$27)</f>
        <v>497.59236406905552</v>
      </c>
      <c r="AE27" s="13">
        <v>0</v>
      </c>
      <c r="AF27" s="13">
        <v>0</v>
      </c>
      <c r="AG27" s="13">
        <f>SUM($AE$27:$AF$27)</f>
        <v>0</v>
      </c>
      <c r="AH27" s="13">
        <f>'TR TUSD'!$AH$27*'TR TUSD'!$AH$60</f>
        <v>13.110315065948088</v>
      </c>
      <c r="AI27" s="13">
        <f>'TR TUSD'!$AI$27*'TR TUSD'!$AI$60</f>
        <v>0</v>
      </c>
      <c r="AJ27" s="13">
        <f ca="1">'TR TUSD'!$AJ$27*'TR TUSD'!$AJ$60</f>
        <v>0</v>
      </c>
      <c r="AK27" s="13">
        <f ca="1">'TR TUSD'!$AK$27*'TR TUSD'!$AK$60</f>
        <v>0</v>
      </c>
      <c r="AL27" s="13">
        <f ca="1">SUM($AH$27:$AK$27)</f>
        <v>13.110315065948088</v>
      </c>
      <c r="AM27" s="13">
        <f ca="1">SUMIF($L$4:$AL$4,"SUBTOTAL",$L$27:$AL$27)</f>
        <v>672.62649262440902</v>
      </c>
      <c r="AP27" s="13">
        <f>IF((1 - CUSTOS!$M$25)&lt;&gt;0,1/(1 - CUSTOS!$M$25),1)</f>
        <v>1</v>
      </c>
    </row>
    <row r="28" spans="1:42" ht="11.25" customHeight="1" x14ac:dyDescent="0.25">
      <c r="A28" s="103"/>
      <c r="B28" s="103"/>
      <c r="C28" s="103"/>
      <c r="D28" s="23" t="s">
        <v>39</v>
      </c>
      <c r="E28" s="23" t="s">
        <v>25</v>
      </c>
      <c r="F28" s="23" t="s">
        <v>25</v>
      </c>
      <c r="G28" s="24" t="s">
        <v>67</v>
      </c>
      <c r="H28" s="24" t="s">
        <v>60</v>
      </c>
      <c r="I28" s="24">
        <f>'MERCADO TUSD'!$U$25</f>
        <v>0</v>
      </c>
      <c r="J28" s="15"/>
      <c r="L28" s="13">
        <f>'TR TUSD'!$L$28*'TR TUSD'!$L$60</f>
        <v>0</v>
      </c>
      <c r="M28" s="13">
        <f>'TR TUSD'!$M$28*'TR TUSD'!$M$60</f>
        <v>2.3043606176318141</v>
      </c>
      <c r="N28" s="13">
        <f ca="1">'TR TUSD'!$N$28*'TR TUSD'!$N$60</f>
        <v>0</v>
      </c>
      <c r="O28" s="13">
        <f>'TR TUSD'!$O$28*'TR TUSD'!$O$60</f>
        <v>0</v>
      </c>
      <c r="P28" s="13">
        <f>'TR TUSD'!$P$28*'TR TUSD'!$P$60</f>
        <v>0</v>
      </c>
      <c r="Q28" s="13">
        <f>'TR TUSD'!$Q$28*'TR TUSD'!$Q$60</f>
        <v>0</v>
      </c>
      <c r="R28" s="13">
        <f>'TR TUSD'!$R$28*'TR TUSD'!$R$60</f>
        <v>0</v>
      </c>
      <c r="S28" s="13">
        <f>'TR TUSD'!$S$28*'TR TUSD'!$S$60</f>
        <v>0</v>
      </c>
      <c r="T28" s="13">
        <f ca="1">SUM($L$28:$S$28)</f>
        <v>2.3043606176318141</v>
      </c>
      <c r="U28" s="13">
        <f>'TR TUSD'!$U$28*'TR TUSD'!$U$60</f>
        <v>0</v>
      </c>
      <c r="V28" s="13">
        <f>'TR TUSD'!$V$28*'TR TUSD'!$V$60</f>
        <v>0</v>
      </c>
      <c r="W28" s="13">
        <f>'TR TUSD'!$W$28*'TR TUSD'!$W$60</f>
        <v>0</v>
      </c>
      <c r="X28" s="13">
        <f>'TR TUSD'!$X$28*'TR TUSD'!$X$60</f>
        <v>0</v>
      </c>
      <c r="Y28" s="13">
        <f>'TR TUSD'!$Y$28*'TR TUSD'!$Y$60</f>
        <v>159.61945287177366</v>
      </c>
      <c r="Z28" s="13">
        <f>'TR TUSD'!$Z$28</f>
        <v>0</v>
      </c>
      <c r="AA28" s="13">
        <f>'TR TUSD'!$AA$28</f>
        <v>0</v>
      </c>
      <c r="AB28" s="13">
        <f>SUM($U$28:$AA$28)</f>
        <v>159.61945287177366</v>
      </c>
      <c r="AC28" s="13">
        <f>'TR TUSD'!$AC$28*'TR TUSD'!$AC$60</f>
        <v>497.59236406905552</v>
      </c>
      <c r="AD28" s="13">
        <f>SUM($AC$28:$AC$28)</f>
        <v>497.59236406905552</v>
      </c>
      <c r="AE28" s="13">
        <v>0</v>
      </c>
      <c r="AF28" s="13">
        <v>0</v>
      </c>
      <c r="AG28" s="13">
        <f>SUM($AE$28:$AF$28)</f>
        <v>0</v>
      </c>
      <c r="AH28" s="13">
        <f>'TR TUSD'!$AH$28*'TR TUSD'!$AH$60</f>
        <v>13.110315065948088</v>
      </c>
      <c r="AI28" s="13">
        <f>'TR TUSD'!$AI$28*'TR TUSD'!$AI$60</f>
        <v>0</v>
      </c>
      <c r="AJ28" s="13">
        <f ca="1">'TR TUSD'!$AJ$28*'TR TUSD'!$AJ$60</f>
        <v>0</v>
      </c>
      <c r="AK28" s="13">
        <f ca="1">'TR TUSD'!$AK$28*'TR TUSD'!$AK$60</f>
        <v>0</v>
      </c>
      <c r="AL28" s="13">
        <f ca="1">SUM($AH$28:$AK$28)</f>
        <v>13.110315065948088</v>
      </c>
      <c r="AM28" s="13">
        <f ca="1">SUMIF($L$4:$AL$4,"SUBTOTAL",$L$28:$AL$28)</f>
        <v>672.62649262440902</v>
      </c>
      <c r="AP28" s="13">
        <f>IF((1 - CUSTOS!$M$26)&lt;&gt;0,1/(1 - CUSTOS!$M$26),1)</f>
        <v>1</v>
      </c>
    </row>
    <row r="29" spans="1:42" ht="11.25" customHeight="1" x14ac:dyDescent="0.25">
      <c r="A29" s="103"/>
      <c r="B29" s="103"/>
      <c r="C29" s="103"/>
      <c r="D29" s="23" t="s">
        <v>40</v>
      </c>
      <c r="E29" s="23" t="s">
        <v>25</v>
      </c>
      <c r="F29" s="23" t="s">
        <v>25</v>
      </c>
      <c r="G29" s="24" t="s">
        <v>67</v>
      </c>
      <c r="H29" s="24" t="s">
        <v>60</v>
      </c>
      <c r="I29" s="24">
        <f>'MERCADO TUSD'!$U$26</f>
        <v>0</v>
      </c>
      <c r="J29" s="15"/>
      <c r="L29" s="13">
        <f>'TR TUSD'!$L$29*'TR TUSD'!$L$60</f>
        <v>0</v>
      </c>
      <c r="M29" s="13">
        <f>'TR TUSD'!$M$29*'TR TUSD'!$M$60</f>
        <v>2.3043606176318141</v>
      </c>
      <c r="N29" s="13">
        <f ca="1">'TR TUSD'!$N$29*'TR TUSD'!$N$60</f>
        <v>0</v>
      </c>
      <c r="O29" s="13">
        <f>'TR TUSD'!$O$29*'TR TUSD'!$O$60</f>
        <v>0</v>
      </c>
      <c r="P29" s="13">
        <f>'TR TUSD'!$P$29*'TR TUSD'!$P$60</f>
        <v>0</v>
      </c>
      <c r="Q29" s="13">
        <f>'TR TUSD'!$Q$29*'TR TUSD'!$Q$60</f>
        <v>0</v>
      </c>
      <c r="R29" s="13">
        <f>'TR TUSD'!$R$29*'TR TUSD'!$R$60</f>
        <v>0</v>
      </c>
      <c r="S29" s="13">
        <f>'TR TUSD'!$S$29*'TR TUSD'!$S$60</f>
        <v>0</v>
      </c>
      <c r="T29" s="13">
        <f ca="1">SUM($L$29:$S$29)</f>
        <v>2.3043606176318141</v>
      </c>
      <c r="U29" s="13">
        <f>'TR TUSD'!$U$29*'TR TUSD'!$U$60</f>
        <v>0</v>
      </c>
      <c r="V29" s="13">
        <f>'TR TUSD'!$V$29*'TR TUSD'!$V$60</f>
        <v>0</v>
      </c>
      <c r="W29" s="13">
        <f>'TR TUSD'!$W$29*'TR TUSD'!$W$60</f>
        <v>0</v>
      </c>
      <c r="X29" s="13">
        <f>'TR TUSD'!$X$29*'TR TUSD'!$X$60</f>
        <v>0</v>
      </c>
      <c r="Y29" s="13">
        <f>'TR TUSD'!$Y$29*'TR TUSD'!$Y$60</f>
        <v>159.61945287177366</v>
      </c>
      <c r="Z29" s="13">
        <f>'TR TUSD'!$Z$29</f>
        <v>0</v>
      </c>
      <c r="AA29" s="13">
        <f>'TR TUSD'!$AA$29</f>
        <v>0</v>
      </c>
      <c r="AB29" s="13">
        <f>SUM($U$29:$AA$29)</f>
        <v>159.61945287177366</v>
      </c>
      <c r="AC29" s="13">
        <f>'TR TUSD'!$AC$29*'TR TUSD'!$AC$60</f>
        <v>497.59236406905552</v>
      </c>
      <c r="AD29" s="13">
        <f>SUM($AC$29:$AC$29)</f>
        <v>497.59236406905552</v>
      </c>
      <c r="AE29" s="13">
        <v>0</v>
      </c>
      <c r="AF29" s="13">
        <v>0</v>
      </c>
      <c r="AG29" s="13">
        <f>SUM($AE$29:$AF$29)</f>
        <v>0</v>
      </c>
      <c r="AH29" s="13">
        <f>'TR TUSD'!$AH$29*'TR TUSD'!$AH$60</f>
        <v>13.110315065948088</v>
      </c>
      <c r="AI29" s="13">
        <f>'TR TUSD'!$AI$29*'TR TUSD'!$AI$60</f>
        <v>0</v>
      </c>
      <c r="AJ29" s="13">
        <f ca="1">'TR TUSD'!$AJ$29*'TR TUSD'!$AJ$60</f>
        <v>0</v>
      </c>
      <c r="AK29" s="13">
        <f ca="1">'TR TUSD'!$AK$29*'TR TUSD'!$AK$60</f>
        <v>0</v>
      </c>
      <c r="AL29" s="13">
        <f ca="1">SUM($AH$29:$AK$29)</f>
        <v>13.110315065948088</v>
      </c>
      <c r="AM29" s="13">
        <f ca="1">SUMIF($L$4:$AL$4,"SUBTOTAL",$L$29:$AL$29)</f>
        <v>672.62649262440902</v>
      </c>
      <c r="AP29" s="13">
        <f>IF((1 - CUSTOS!$M$27)&lt;&gt;0,1/(1 - CUSTOS!$M$27),1)</f>
        <v>1</v>
      </c>
    </row>
    <row r="30" spans="1:42" ht="11.25" customHeight="1" x14ac:dyDescent="0.25">
      <c r="A30" s="103" t="s">
        <v>31</v>
      </c>
      <c r="B30" s="103" t="s">
        <v>76</v>
      </c>
      <c r="C30" s="103" t="s">
        <v>32</v>
      </c>
      <c r="D30" s="103" t="s">
        <v>25</v>
      </c>
      <c r="E30" s="103" t="s">
        <v>25</v>
      </c>
      <c r="F30" s="103" t="s">
        <v>25</v>
      </c>
      <c r="G30" s="24" t="s">
        <v>61</v>
      </c>
      <c r="H30" s="24" t="s">
        <v>60</v>
      </c>
      <c r="I30" s="24">
        <f>'MERCADO TUSD'!$U$27</f>
        <v>0</v>
      </c>
      <c r="J30" s="15"/>
      <c r="L30" s="13">
        <f>'TR TUSD'!$L$30*'TR TUSD'!$L$60</f>
        <v>31.718954004593161</v>
      </c>
      <c r="M30" s="13">
        <f>'TR TUSD'!$M$30*'TR TUSD'!$M$60</f>
        <v>2.3043606176318141</v>
      </c>
      <c r="N30" s="13">
        <f ca="1">'TR TUSD'!$N$30*'TR TUSD'!$N$60</f>
        <v>0</v>
      </c>
      <c r="O30" s="13">
        <f>'TR TUSD'!$O$30*'TR TUSD'!$O$60</f>
        <v>0</v>
      </c>
      <c r="P30" s="13">
        <f>'TR TUSD'!$P$30*'TR TUSD'!$P$60</f>
        <v>0</v>
      </c>
      <c r="Q30" s="13">
        <f>'TR TUSD'!$Q$30*'TR TUSD'!$Q$60</f>
        <v>90.192800461879841</v>
      </c>
      <c r="R30" s="13">
        <f>'TR TUSD'!$R$30*'TR TUSD'!$R$60</f>
        <v>14.263282266658029</v>
      </c>
      <c r="S30" s="13">
        <f>'TR TUSD'!$S$30*'TR TUSD'!$S$60</f>
        <v>0</v>
      </c>
      <c r="T30" s="13">
        <f ca="1">SUM($L$30:$S$30)</f>
        <v>138.47939735076284</v>
      </c>
      <c r="U30" s="13">
        <f>'TR TUSD'!$U$30*'TR TUSD'!$U$60</f>
        <v>0</v>
      </c>
      <c r="V30" s="13">
        <f>'TR TUSD'!$V$30*'TR TUSD'!$V$60</f>
        <v>0</v>
      </c>
      <c r="W30" s="13">
        <f>'TR TUSD'!$W$30*'TR TUSD'!$W$60</f>
        <v>0</v>
      </c>
      <c r="X30" s="13">
        <f>'TR TUSD'!$X$30*'TR TUSD'!$X$60</f>
        <v>0</v>
      </c>
      <c r="Y30" s="13">
        <f>'TR TUSD'!$Y$30*'TR TUSD'!$Y$60</f>
        <v>470.89691404332405</v>
      </c>
      <c r="Z30" s="13">
        <f>'TR TUSD'!$Z$30</f>
        <v>0</v>
      </c>
      <c r="AA30" s="13">
        <f>'TR TUSD'!$AA$30</f>
        <v>0</v>
      </c>
      <c r="AB30" s="13">
        <f>SUM($U$30:$AA$30)</f>
        <v>470.89691404332405</v>
      </c>
      <c r="AC30" s="13">
        <f>'TR TUSD'!$AC$30*'TR TUSD'!$AC$60</f>
        <v>1467.8975075281273</v>
      </c>
      <c r="AD30" s="13">
        <f>SUM($AC$30:$AC$30)</f>
        <v>1467.8975075281273</v>
      </c>
      <c r="AE30" s="13">
        <v>0</v>
      </c>
      <c r="AF30" s="13">
        <v>0</v>
      </c>
      <c r="AG30" s="13">
        <f>SUM($AE$30:$AF$30)</f>
        <v>0</v>
      </c>
      <c r="AH30" s="13">
        <f>'TR TUSD'!$AH$30*'TR TUSD'!$AH$60</f>
        <v>13.110315065948088</v>
      </c>
      <c r="AI30" s="13">
        <f>'TR TUSD'!$AI$30*'TR TUSD'!$AI$60</f>
        <v>0</v>
      </c>
      <c r="AJ30" s="13">
        <f ca="1">'TR TUSD'!$AJ$30*'TR TUSD'!$AJ$60</f>
        <v>0</v>
      </c>
      <c r="AK30" s="13">
        <f ca="1">'TR TUSD'!$AK$30*'TR TUSD'!$AK$60</f>
        <v>0</v>
      </c>
      <c r="AL30" s="13">
        <f ca="1">SUM($AH$30:$AK$30)</f>
        <v>13.110315065948088</v>
      </c>
      <c r="AM30" s="13">
        <f ca="1">SUMIF($L$4:$AL$4,"SUBTOTAL",$L$30:$AL$30)</f>
        <v>2090.3841339881624</v>
      </c>
      <c r="AP30" s="13">
        <f>IF((1 - CUSTOS!$M$28)&lt;&gt;0,1/(1 - CUSTOS!$M$28),1)</f>
        <v>1</v>
      </c>
    </row>
    <row r="31" spans="1:42" ht="11.25" customHeight="1" x14ac:dyDescent="0.25">
      <c r="A31" s="103"/>
      <c r="B31" s="103"/>
      <c r="C31" s="103"/>
      <c r="D31" s="103"/>
      <c r="E31" s="103"/>
      <c r="F31" s="103"/>
      <c r="G31" s="24" t="s">
        <v>74</v>
      </c>
      <c r="H31" s="24" t="s">
        <v>60</v>
      </c>
      <c r="I31" s="24">
        <f>'MERCADO TUSD'!$U$28</f>
        <v>0</v>
      </c>
      <c r="J31" s="15"/>
      <c r="L31" s="13">
        <f>'TR TUSD'!$L$31*'TR TUSD'!$L$60</f>
        <v>31.718954004593161</v>
      </c>
      <c r="M31" s="13">
        <f>'TR TUSD'!$M$31*'TR TUSD'!$M$60</f>
        <v>2.3043606176318141</v>
      </c>
      <c r="N31" s="13">
        <f ca="1">'TR TUSD'!$N$31*'TR TUSD'!$N$60</f>
        <v>0</v>
      </c>
      <c r="O31" s="13">
        <f>'TR TUSD'!$O$31*'TR TUSD'!$O$60</f>
        <v>0</v>
      </c>
      <c r="P31" s="13">
        <f>'TR TUSD'!$P$31*'TR TUSD'!$P$60</f>
        <v>0</v>
      </c>
      <c r="Q31" s="13">
        <f>'TR TUSD'!$Q$31*'TR TUSD'!$Q$60</f>
        <v>90.192800461879841</v>
      </c>
      <c r="R31" s="13">
        <f>'TR TUSD'!$R$31*'TR TUSD'!$R$60</f>
        <v>14.263282266658029</v>
      </c>
      <c r="S31" s="13">
        <f>'TR TUSD'!$S$31*'TR TUSD'!$S$60</f>
        <v>0</v>
      </c>
      <c r="T31" s="13">
        <f ca="1">SUM($L$31:$S$31)</f>
        <v>138.47939735076284</v>
      </c>
      <c r="U31" s="13">
        <f>'TR TUSD'!$U$31*'TR TUSD'!$U$60</f>
        <v>0</v>
      </c>
      <c r="V31" s="13">
        <f>'TR TUSD'!$V$31*'TR TUSD'!$V$60</f>
        <v>0</v>
      </c>
      <c r="W31" s="13">
        <f>'TR TUSD'!$W$31*'TR TUSD'!$W$60</f>
        <v>0</v>
      </c>
      <c r="X31" s="13">
        <f>'TR TUSD'!$X$31*'TR TUSD'!$X$60</f>
        <v>0</v>
      </c>
      <c r="Y31" s="13">
        <f>'TR TUSD'!$Y$31*'TR TUSD'!$Y$60</f>
        <v>282.5066845921001</v>
      </c>
      <c r="Z31" s="13">
        <f>'TR TUSD'!$Z$31</f>
        <v>0</v>
      </c>
      <c r="AA31" s="13">
        <f>'TR TUSD'!$AA$31</f>
        <v>0</v>
      </c>
      <c r="AB31" s="13">
        <f>SUM($U$31:$AA$31)</f>
        <v>282.5066845921001</v>
      </c>
      <c r="AC31" s="13">
        <f>'TR TUSD'!$AC$31*'TR TUSD'!$AC$60</f>
        <v>880.738191622351</v>
      </c>
      <c r="AD31" s="13">
        <f>SUM($AC$31:$AC$31)</f>
        <v>880.738191622351</v>
      </c>
      <c r="AE31" s="13">
        <v>0</v>
      </c>
      <c r="AF31" s="13">
        <v>0</v>
      </c>
      <c r="AG31" s="13">
        <f>SUM($AE$31:$AF$31)</f>
        <v>0</v>
      </c>
      <c r="AH31" s="13">
        <f>'TR TUSD'!$AH$31*'TR TUSD'!$AH$60</f>
        <v>13.110315065948088</v>
      </c>
      <c r="AI31" s="13">
        <f>'TR TUSD'!$AI$31*'TR TUSD'!$AI$60</f>
        <v>0</v>
      </c>
      <c r="AJ31" s="13">
        <f ca="1">'TR TUSD'!$AJ$31*'TR TUSD'!$AJ$60</f>
        <v>0</v>
      </c>
      <c r="AK31" s="13">
        <f ca="1">'TR TUSD'!$AK$31*'TR TUSD'!$AK$60</f>
        <v>0</v>
      </c>
      <c r="AL31" s="13">
        <f ca="1">SUM($AH$31:$AK$31)</f>
        <v>13.110315065948088</v>
      </c>
      <c r="AM31" s="13">
        <f ca="1">SUMIF($L$4:$AL$4,"SUBTOTAL",$L$31:$AL$31)</f>
        <v>1314.834588631162</v>
      </c>
      <c r="AP31" s="13">
        <f>IF((1 - CUSTOS!$M$28)&lt;&gt;0,1/(1 - CUSTOS!$M$28),1)</f>
        <v>1</v>
      </c>
    </row>
    <row r="32" spans="1:42" ht="11.25" customHeight="1" x14ac:dyDescent="0.25">
      <c r="A32" s="103"/>
      <c r="B32" s="103"/>
      <c r="C32" s="103"/>
      <c r="D32" s="103"/>
      <c r="E32" s="103"/>
      <c r="F32" s="103"/>
      <c r="G32" s="24" t="s">
        <v>62</v>
      </c>
      <c r="H32" s="24" t="s">
        <v>60</v>
      </c>
      <c r="I32" s="24">
        <f>'MERCADO TUSD'!$U$29</f>
        <v>0</v>
      </c>
      <c r="J32" s="15"/>
      <c r="L32" s="13">
        <f>'TR TUSD'!$L$32*'TR TUSD'!$L$60</f>
        <v>31.718954004593161</v>
      </c>
      <c r="M32" s="13">
        <f>'TR TUSD'!$M$32*'TR TUSD'!$M$60</f>
        <v>2.3043606176318141</v>
      </c>
      <c r="N32" s="13">
        <f ca="1">'TR TUSD'!$N$32*'TR TUSD'!$N$60</f>
        <v>0</v>
      </c>
      <c r="O32" s="13">
        <f>'TR TUSD'!$O$32*'TR TUSD'!$O$60</f>
        <v>0</v>
      </c>
      <c r="P32" s="13">
        <f>'TR TUSD'!$P$32*'TR TUSD'!$P$60</f>
        <v>0</v>
      </c>
      <c r="Q32" s="13">
        <f>'TR TUSD'!$Q$32*'TR TUSD'!$Q$60</f>
        <v>90.192800461879841</v>
      </c>
      <c r="R32" s="13">
        <f>'TR TUSD'!$R$32*'TR TUSD'!$R$60</f>
        <v>14.263282266658029</v>
      </c>
      <c r="S32" s="13">
        <f>'TR TUSD'!$S$32*'TR TUSD'!$S$60</f>
        <v>0</v>
      </c>
      <c r="T32" s="13">
        <f ca="1">SUM($L$32:$S$32)</f>
        <v>138.47939735076284</v>
      </c>
      <c r="U32" s="13">
        <f>'TR TUSD'!$U$32*'TR TUSD'!$U$60</f>
        <v>0</v>
      </c>
      <c r="V32" s="13">
        <f>'TR TUSD'!$V$32*'TR TUSD'!$V$60</f>
        <v>0</v>
      </c>
      <c r="W32" s="13">
        <f>'TR TUSD'!$W$32*'TR TUSD'!$W$60</f>
        <v>0</v>
      </c>
      <c r="X32" s="13">
        <f>'TR TUSD'!$X$32*'TR TUSD'!$X$60</f>
        <v>0</v>
      </c>
      <c r="Y32" s="13">
        <f>'TR TUSD'!$Y$32*'TR TUSD'!$Y$60</f>
        <v>94.116338694414708</v>
      </c>
      <c r="Z32" s="13">
        <f>'TR TUSD'!$Z$32</f>
        <v>0</v>
      </c>
      <c r="AA32" s="13">
        <f>'TR TUSD'!$AA$32</f>
        <v>0</v>
      </c>
      <c r="AB32" s="13">
        <f>SUM($U$32:$AA$32)</f>
        <v>94.116338694414708</v>
      </c>
      <c r="AC32" s="13">
        <f>'TR TUSD'!$AC$32*'TR TUSD'!$AC$60</f>
        <v>293.57943445679865</v>
      </c>
      <c r="AD32" s="13">
        <f>SUM($AC$32:$AC$32)</f>
        <v>293.57943445679865</v>
      </c>
      <c r="AE32" s="13">
        <v>0</v>
      </c>
      <c r="AF32" s="13">
        <v>0</v>
      </c>
      <c r="AG32" s="13">
        <f>SUM($AE$32:$AF$32)</f>
        <v>0</v>
      </c>
      <c r="AH32" s="13">
        <f>'TR TUSD'!$AH$32*'TR TUSD'!$AH$60</f>
        <v>13.110315065948088</v>
      </c>
      <c r="AI32" s="13">
        <f>'TR TUSD'!$AI$32*'TR TUSD'!$AI$60</f>
        <v>0</v>
      </c>
      <c r="AJ32" s="13">
        <f ca="1">'TR TUSD'!$AJ$32*'TR TUSD'!$AJ$60</f>
        <v>0</v>
      </c>
      <c r="AK32" s="13">
        <f ca="1">'TR TUSD'!$AK$32*'TR TUSD'!$AK$60</f>
        <v>0</v>
      </c>
      <c r="AL32" s="13">
        <f ca="1">SUM($AH$32:$AK$32)</f>
        <v>13.110315065948088</v>
      </c>
      <c r="AM32" s="13">
        <f ca="1">SUMIF($L$4:$AL$4,"SUBTOTAL",$L$32:$AL$32)</f>
        <v>539.2854855679243</v>
      </c>
      <c r="AP32" s="13">
        <f>IF((1 - CUSTOS!$M$28)&lt;&gt;0,1/(1 - CUSTOS!$M$28),1)</f>
        <v>1</v>
      </c>
    </row>
    <row r="33" spans="1:42" ht="11.25" customHeight="1" x14ac:dyDescent="0.25">
      <c r="A33" s="103"/>
      <c r="B33" s="23" t="s">
        <v>23</v>
      </c>
      <c r="C33" s="23" t="s">
        <v>32</v>
      </c>
      <c r="D33" s="23" t="s">
        <v>25</v>
      </c>
      <c r="E33" s="23" t="s">
        <v>25</v>
      </c>
      <c r="F33" s="23" t="s">
        <v>25</v>
      </c>
      <c r="G33" s="24" t="s">
        <v>67</v>
      </c>
      <c r="H33" s="24" t="s">
        <v>60</v>
      </c>
      <c r="I33" s="24">
        <f>'MERCADO TUSD'!$U$30</f>
        <v>6180.567</v>
      </c>
      <c r="J33" s="15"/>
      <c r="L33" s="13">
        <f>'TR TUSD'!$L$33*'TR TUSD'!$L$60</f>
        <v>31.718954004593161</v>
      </c>
      <c r="M33" s="13">
        <f>'TR TUSD'!$M$33*'TR TUSD'!$M$60</f>
        <v>2.3043606176318141</v>
      </c>
      <c r="N33" s="13">
        <f ca="1">'TR TUSD'!$N$33*'TR TUSD'!$N$60</f>
        <v>0</v>
      </c>
      <c r="O33" s="13">
        <f>'TR TUSD'!$O$33*'TR TUSD'!$O$60</f>
        <v>0</v>
      </c>
      <c r="P33" s="13">
        <f>'TR TUSD'!$P$33*'TR TUSD'!$P$60</f>
        <v>0</v>
      </c>
      <c r="Q33" s="13">
        <f>'TR TUSD'!$Q$33*'TR TUSD'!$Q$60</f>
        <v>90.192800461879841</v>
      </c>
      <c r="R33" s="13">
        <f>'TR TUSD'!$R$33*'TR TUSD'!$R$60</f>
        <v>14.263282266658029</v>
      </c>
      <c r="S33" s="13">
        <f>'TR TUSD'!$S$33*'TR TUSD'!$S$60</f>
        <v>0</v>
      </c>
      <c r="T33" s="13">
        <f ca="1">SUM($L$33:$S$33)</f>
        <v>138.47939735076284</v>
      </c>
      <c r="U33" s="13">
        <f>'TR TUSD'!$U$33*'TR TUSD'!$U$60</f>
        <v>0</v>
      </c>
      <c r="V33" s="13">
        <f>'TR TUSD'!$V$33*'TR TUSD'!$V$60</f>
        <v>0</v>
      </c>
      <c r="W33" s="13">
        <f>'TR TUSD'!$W$33*'TR TUSD'!$W$60</f>
        <v>0</v>
      </c>
      <c r="X33" s="13">
        <f>'TR TUSD'!$X$33*'TR TUSD'!$X$60</f>
        <v>0</v>
      </c>
      <c r="Y33" s="13">
        <f>'TR TUSD'!$Y$33*'TR TUSD'!$Y$60</f>
        <v>159.61945287177366</v>
      </c>
      <c r="Z33" s="13">
        <f>'TR TUSD'!$Z$33</f>
        <v>0</v>
      </c>
      <c r="AA33" s="13">
        <f>'TR TUSD'!$AA$33</f>
        <v>0</v>
      </c>
      <c r="AB33" s="13">
        <f>SUM($U$33:$AA$33)</f>
        <v>159.61945287177366</v>
      </c>
      <c r="AC33" s="13">
        <f>'TR TUSD'!$AC$33*'TR TUSD'!$AC$60</f>
        <v>497.59236406905552</v>
      </c>
      <c r="AD33" s="13">
        <f>SUM($AC$33:$AC$33)</f>
        <v>497.59236406905552</v>
      </c>
      <c r="AE33" s="13">
        <v>0</v>
      </c>
      <c r="AF33" s="13">
        <v>0</v>
      </c>
      <c r="AG33" s="13">
        <f>SUM($AE$33:$AF$33)</f>
        <v>0</v>
      </c>
      <c r="AH33" s="13">
        <f>'TR TUSD'!$AH$33*'TR TUSD'!$AH$60</f>
        <v>13.110315065948088</v>
      </c>
      <c r="AI33" s="13">
        <f>'TR TUSD'!$AI$33*'TR TUSD'!$AI$60</f>
        <v>0</v>
      </c>
      <c r="AJ33" s="13">
        <f ca="1">'TR TUSD'!$AJ$33*'TR TUSD'!$AJ$60</f>
        <v>0</v>
      </c>
      <c r="AK33" s="13">
        <f ca="1">'TR TUSD'!$AK$33*'TR TUSD'!$AK$60</f>
        <v>0</v>
      </c>
      <c r="AL33" s="13">
        <f ca="1">SUM($AH$33:$AK$33)</f>
        <v>13.110315065948088</v>
      </c>
      <c r="AM33" s="13">
        <f ca="1">SUMIF($L$4:$AL$4,"SUBTOTAL",$L$33:$AL$33)</f>
        <v>808.80152935754006</v>
      </c>
      <c r="AP33" s="13">
        <f>IF((1 - CUSTOS!$M$28)&lt;&gt;0,1/(1 - CUSTOS!$M$28),1)</f>
        <v>1</v>
      </c>
    </row>
    <row r="34" spans="1:42" ht="11.25" customHeight="1" x14ac:dyDescent="0.25">
      <c r="A34" s="103"/>
      <c r="B34" s="103" t="s">
        <v>76</v>
      </c>
      <c r="C34" s="103" t="s">
        <v>32</v>
      </c>
      <c r="D34" s="103" t="s">
        <v>79</v>
      </c>
      <c r="E34" s="103" t="s">
        <v>25</v>
      </c>
      <c r="F34" s="103" t="s">
        <v>25</v>
      </c>
      <c r="G34" s="24" t="s">
        <v>61</v>
      </c>
      <c r="H34" s="24" t="s">
        <v>60</v>
      </c>
      <c r="I34" s="24">
        <f>'MERCADO TUSD'!$U$31</f>
        <v>0</v>
      </c>
      <c r="J34" s="15"/>
      <c r="L34" s="13">
        <f>'TR TUSD'!$L$34*'TR TUSD'!$L$60</f>
        <v>31.718954004593161</v>
      </c>
      <c r="M34" s="13">
        <f>'TR TUSD'!$M$34*'TR TUSD'!$M$60</f>
        <v>2.3043606176318141</v>
      </c>
      <c r="N34" s="13">
        <f ca="1">'TR TUSD'!$N$34*'TR TUSD'!$N$60</f>
        <v>0</v>
      </c>
      <c r="O34" s="13">
        <f>'TR TUSD'!$O$34*'TR TUSD'!$O$60</f>
        <v>0</v>
      </c>
      <c r="P34" s="13">
        <f>'TR TUSD'!$P$34*'TR TUSD'!$P$60</f>
        <v>0</v>
      </c>
      <c r="Q34" s="13">
        <f>'TR TUSD'!$Q$34*'TR TUSD'!$Q$60</f>
        <v>90.192800461879841</v>
      </c>
      <c r="R34" s="13">
        <f>'TR TUSD'!$R$34*'TR TUSD'!$R$60</f>
        <v>14.263282266658029</v>
      </c>
      <c r="S34" s="13">
        <f>'TR TUSD'!$S$34*'TR TUSD'!$S$60</f>
        <v>0</v>
      </c>
      <c r="T34" s="13">
        <f ca="1">SUM($L$34:$S$34)</f>
        <v>138.47939735076284</v>
      </c>
      <c r="U34" s="13">
        <f>'TR TUSD'!$U$34*'TR TUSD'!$U$60</f>
        <v>0</v>
      </c>
      <c r="V34" s="13">
        <f>'TR TUSD'!$V$34*'TR TUSD'!$V$60</f>
        <v>0</v>
      </c>
      <c r="W34" s="13">
        <f>'TR TUSD'!$W$34*'TR TUSD'!$W$60</f>
        <v>0</v>
      </c>
      <c r="X34" s="13">
        <f>'TR TUSD'!$X$34*'TR TUSD'!$X$60</f>
        <v>0</v>
      </c>
      <c r="Y34" s="13">
        <f>'TR TUSD'!$Y$34*'TR TUSD'!$Y$60</f>
        <v>470.89691404332405</v>
      </c>
      <c r="Z34" s="13">
        <f>'TR TUSD'!$Z$34</f>
        <v>0</v>
      </c>
      <c r="AA34" s="13">
        <f>'TR TUSD'!$AA$34</f>
        <v>0</v>
      </c>
      <c r="AB34" s="13">
        <f>SUM($U$34:$AA$34)</f>
        <v>470.89691404332405</v>
      </c>
      <c r="AC34" s="13">
        <f>'TR TUSD'!$AC$34*'TR TUSD'!$AC$60</f>
        <v>1467.8975075281273</v>
      </c>
      <c r="AD34" s="13">
        <f>SUM($AC$34:$AC$34)</f>
        <v>1467.8975075281273</v>
      </c>
      <c r="AE34" s="13">
        <v>0</v>
      </c>
      <c r="AF34" s="13">
        <v>0</v>
      </c>
      <c r="AG34" s="13">
        <f>SUM($AE$34:$AF$34)</f>
        <v>0</v>
      </c>
      <c r="AH34" s="13">
        <f>'TR TUSD'!$AH$34*'TR TUSD'!$AH$60</f>
        <v>13.110315065948088</v>
      </c>
      <c r="AI34" s="13">
        <f>'TR TUSD'!$AI$34*'TR TUSD'!$AI$60</f>
        <v>0</v>
      </c>
      <c r="AJ34" s="13">
        <f ca="1">'TR TUSD'!$AJ$34*'TR TUSD'!$AJ$60</f>
        <v>0</v>
      </c>
      <c r="AK34" s="13">
        <f ca="1">'TR TUSD'!$AK$34*'TR TUSD'!$AK$60</f>
        <v>0</v>
      </c>
      <c r="AL34" s="13">
        <f ca="1">SUM($AH$34:$AK$34)</f>
        <v>13.110315065948088</v>
      </c>
      <c r="AM34" s="13">
        <f ca="1">SUMIF($L$4:$AL$4,"SUBTOTAL",$L$34:$AL$34)</f>
        <v>2090.3841339881624</v>
      </c>
      <c r="AP34" s="13">
        <f>IF((1 - CUSTOS!$M$29)&lt;&gt;0,1/(1 - CUSTOS!$M$29),1)</f>
        <v>1</v>
      </c>
    </row>
    <row r="35" spans="1:42" ht="11.25" customHeight="1" x14ac:dyDescent="0.25">
      <c r="A35" s="103"/>
      <c r="B35" s="103"/>
      <c r="C35" s="103"/>
      <c r="D35" s="103"/>
      <c r="E35" s="103"/>
      <c r="F35" s="103"/>
      <c r="G35" s="24" t="s">
        <v>74</v>
      </c>
      <c r="H35" s="24" t="s">
        <v>60</v>
      </c>
      <c r="I35" s="24">
        <f>'MERCADO TUSD'!$U$32</f>
        <v>0</v>
      </c>
      <c r="J35" s="15"/>
      <c r="L35" s="13">
        <f>'TR TUSD'!$L$35*'TR TUSD'!$L$60</f>
        <v>31.718954004593161</v>
      </c>
      <c r="M35" s="13">
        <f>'TR TUSD'!$M$35*'TR TUSD'!$M$60</f>
        <v>2.3043606176318141</v>
      </c>
      <c r="N35" s="13">
        <f ca="1">'TR TUSD'!$N$35*'TR TUSD'!$N$60</f>
        <v>0</v>
      </c>
      <c r="O35" s="13">
        <f>'TR TUSD'!$O$35*'TR TUSD'!$O$60</f>
        <v>0</v>
      </c>
      <c r="P35" s="13">
        <f>'TR TUSD'!$P$35*'TR TUSD'!$P$60</f>
        <v>0</v>
      </c>
      <c r="Q35" s="13">
        <f>'TR TUSD'!$Q$35*'TR TUSD'!$Q$60</f>
        <v>90.192800461879841</v>
      </c>
      <c r="R35" s="13">
        <f>'TR TUSD'!$R$35*'TR TUSD'!$R$60</f>
        <v>14.263282266658029</v>
      </c>
      <c r="S35" s="13">
        <f>'TR TUSD'!$S$35*'TR TUSD'!$S$60</f>
        <v>0</v>
      </c>
      <c r="T35" s="13">
        <f ca="1">SUM($L$35:$S$35)</f>
        <v>138.47939735076284</v>
      </c>
      <c r="U35" s="13">
        <f>'TR TUSD'!$U$35*'TR TUSD'!$U$60</f>
        <v>0</v>
      </c>
      <c r="V35" s="13">
        <f>'TR TUSD'!$V$35*'TR TUSD'!$V$60</f>
        <v>0</v>
      </c>
      <c r="W35" s="13">
        <f>'TR TUSD'!$W$35*'TR TUSD'!$W$60</f>
        <v>0</v>
      </c>
      <c r="X35" s="13">
        <f>'TR TUSD'!$X$35*'TR TUSD'!$X$60</f>
        <v>0</v>
      </c>
      <c r="Y35" s="13">
        <f>'TR TUSD'!$Y$35*'TR TUSD'!$Y$60</f>
        <v>282.5066845921001</v>
      </c>
      <c r="Z35" s="13">
        <f>'TR TUSD'!$Z$35</f>
        <v>0</v>
      </c>
      <c r="AA35" s="13">
        <f>'TR TUSD'!$AA$35</f>
        <v>0</v>
      </c>
      <c r="AB35" s="13">
        <f>SUM($U$35:$AA$35)</f>
        <v>282.5066845921001</v>
      </c>
      <c r="AC35" s="13">
        <f>'TR TUSD'!$AC$35*'TR TUSD'!$AC$60</f>
        <v>880.738191622351</v>
      </c>
      <c r="AD35" s="13">
        <f>SUM($AC$35:$AC$35)</f>
        <v>880.738191622351</v>
      </c>
      <c r="AE35" s="13">
        <v>0</v>
      </c>
      <c r="AF35" s="13">
        <v>0</v>
      </c>
      <c r="AG35" s="13">
        <f>SUM($AE$35:$AF$35)</f>
        <v>0</v>
      </c>
      <c r="AH35" s="13">
        <f>'TR TUSD'!$AH$35*'TR TUSD'!$AH$60</f>
        <v>13.110315065948088</v>
      </c>
      <c r="AI35" s="13">
        <f>'TR TUSD'!$AI$35*'TR TUSD'!$AI$60</f>
        <v>0</v>
      </c>
      <c r="AJ35" s="13">
        <f ca="1">'TR TUSD'!$AJ$35*'TR TUSD'!$AJ$60</f>
        <v>0</v>
      </c>
      <c r="AK35" s="13">
        <f ca="1">'TR TUSD'!$AK$35*'TR TUSD'!$AK$60</f>
        <v>0</v>
      </c>
      <c r="AL35" s="13">
        <f ca="1">SUM($AH$35:$AK$35)</f>
        <v>13.110315065948088</v>
      </c>
      <c r="AM35" s="13">
        <f ca="1">SUMIF($L$4:$AL$4,"SUBTOTAL",$L$35:$AL$35)</f>
        <v>1314.834588631162</v>
      </c>
      <c r="AP35" s="13">
        <f>IF((1 - CUSTOS!$M$29)&lt;&gt;0,1/(1 - CUSTOS!$M$29),1)</f>
        <v>1</v>
      </c>
    </row>
    <row r="36" spans="1:42" ht="11.25" customHeight="1" x14ac:dyDescent="0.25">
      <c r="A36" s="103"/>
      <c r="B36" s="103"/>
      <c r="C36" s="103"/>
      <c r="D36" s="103"/>
      <c r="E36" s="103"/>
      <c r="F36" s="103"/>
      <c r="G36" s="24" t="s">
        <v>62</v>
      </c>
      <c r="H36" s="24" t="s">
        <v>60</v>
      </c>
      <c r="I36" s="24">
        <f>'MERCADO TUSD'!$U$33</f>
        <v>0</v>
      </c>
      <c r="J36" s="15"/>
      <c r="L36" s="13">
        <f>'TR TUSD'!$L$36*'TR TUSD'!$L$60</f>
        <v>31.718954004593161</v>
      </c>
      <c r="M36" s="13">
        <f>'TR TUSD'!$M$36*'TR TUSD'!$M$60</f>
        <v>2.3043606176318141</v>
      </c>
      <c r="N36" s="13">
        <f ca="1">'TR TUSD'!$N$36*'TR TUSD'!$N$60</f>
        <v>0</v>
      </c>
      <c r="O36" s="13">
        <f>'TR TUSD'!$O$36*'TR TUSD'!$O$60</f>
        <v>0</v>
      </c>
      <c r="P36" s="13">
        <f>'TR TUSD'!$P$36*'TR TUSD'!$P$60</f>
        <v>0</v>
      </c>
      <c r="Q36" s="13">
        <f>'TR TUSD'!$Q$36*'TR TUSD'!$Q$60</f>
        <v>90.192800461879841</v>
      </c>
      <c r="R36" s="13">
        <f>'TR TUSD'!$R$36*'TR TUSD'!$R$60</f>
        <v>14.263282266658029</v>
      </c>
      <c r="S36" s="13">
        <f>'TR TUSD'!$S$36*'TR TUSD'!$S$60</f>
        <v>0</v>
      </c>
      <c r="T36" s="13">
        <f ca="1">SUM($L$36:$S$36)</f>
        <v>138.47939735076284</v>
      </c>
      <c r="U36" s="13">
        <f>'TR TUSD'!$U$36*'TR TUSD'!$U$60</f>
        <v>0</v>
      </c>
      <c r="V36" s="13">
        <f>'TR TUSD'!$V$36*'TR TUSD'!$V$60</f>
        <v>0</v>
      </c>
      <c r="W36" s="13">
        <f>'TR TUSD'!$W$36*'TR TUSD'!$W$60</f>
        <v>0</v>
      </c>
      <c r="X36" s="13">
        <f>'TR TUSD'!$X$36*'TR TUSD'!$X$60</f>
        <v>0</v>
      </c>
      <c r="Y36" s="13">
        <f>'TR TUSD'!$Y$36*'TR TUSD'!$Y$60</f>
        <v>94.116338694414708</v>
      </c>
      <c r="Z36" s="13">
        <f>'TR TUSD'!$Z$36</f>
        <v>0</v>
      </c>
      <c r="AA36" s="13">
        <f>'TR TUSD'!$AA$36</f>
        <v>0</v>
      </c>
      <c r="AB36" s="13">
        <f>SUM($U$36:$AA$36)</f>
        <v>94.116338694414708</v>
      </c>
      <c r="AC36" s="13">
        <f>'TR TUSD'!$AC$36*'TR TUSD'!$AC$60</f>
        <v>293.57943445679865</v>
      </c>
      <c r="AD36" s="13">
        <f>SUM($AC$36:$AC$36)</f>
        <v>293.57943445679865</v>
      </c>
      <c r="AE36" s="13">
        <v>0</v>
      </c>
      <c r="AF36" s="13">
        <v>0</v>
      </c>
      <c r="AG36" s="13">
        <f>SUM($AE$36:$AF$36)</f>
        <v>0</v>
      </c>
      <c r="AH36" s="13">
        <f>'TR TUSD'!$AH$36*'TR TUSD'!$AH$60</f>
        <v>13.110315065948088</v>
      </c>
      <c r="AI36" s="13">
        <f>'TR TUSD'!$AI$36*'TR TUSD'!$AI$60</f>
        <v>0</v>
      </c>
      <c r="AJ36" s="13">
        <f ca="1">'TR TUSD'!$AJ$36*'TR TUSD'!$AJ$60</f>
        <v>0</v>
      </c>
      <c r="AK36" s="13">
        <f ca="1">'TR TUSD'!$AK$36*'TR TUSD'!$AK$60</f>
        <v>0</v>
      </c>
      <c r="AL36" s="13">
        <f ca="1">SUM($AH$36:$AK$36)</f>
        <v>13.110315065948088</v>
      </c>
      <c r="AM36" s="13">
        <f ca="1">SUMIF($L$4:$AL$4,"SUBTOTAL",$L$36:$AL$36)</f>
        <v>539.2854855679243</v>
      </c>
      <c r="AP36" s="13">
        <f>IF((1 - CUSTOS!$M$29)&lt;&gt;0,1/(1 - CUSTOS!$M$29),1)</f>
        <v>1</v>
      </c>
    </row>
    <row r="37" spans="1:42" ht="11.25" customHeight="1" x14ac:dyDescent="0.25">
      <c r="A37" s="103"/>
      <c r="B37" s="23" t="s">
        <v>23</v>
      </c>
      <c r="C37" s="23" t="s">
        <v>32</v>
      </c>
      <c r="D37" s="23" t="s">
        <v>79</v>
      </c>
      <c r="E37" s="23" t="s">
        <v>25</v>
      </c>
      <c r="F37" s="23" t="s">
        <v>25</v>
      </c>
      <c r="G37" s="24" t="s">
        <v>67</v>
      </c>
      <c r="H37" s="24" t="s">
        <v>60</v>
      </c>
      <c r="I37" s="24">
        <f>'MERCADO TUSD'!$U$34</f>
        <v>0</v>
      </c>
      <c r="J37" s="15"/>
      <c r="L37" s="13">
        <f>'TR TUSD'!$L$37*'TR TUSD'!$L$60</f>
        <v>31.718954004593161</v>
      </c>
      <c r="M37" s="13">
        <f>'TR TUSD'!$M$37*'TR TUSD'!$M$60</f>
        <v>2.3043606176318141</v>
      </c>
      <c r="N37" s="13">
        <f ca="1">'TR TUSD'!$N$37*'TR TUSD'!$N$60</f>
        <v>0</v>
      </c>
      <c r="O37" s="13">
        <f>'TR TUSD'!$O$37*'TR TUSD'!$O$60</f>
        <v>0</v>
      </c>
      <c r="P37" s="13">
        <f>'TR TUSD'!$P$37*'TR TUSD'!$P$60</f>
        <v>0</v>
      </c>
      <c r="Q37" s="13">
        <f>'TR TUSD'!$Q$37*'TR TUSD'!$Q$60</f>
        <v>90.192800461879841</v>
      </c>
      <c r="R37" s="13">
        <f>'TR TUSD'!$R$37*'TR TUSD'!$R$60</f>
        <v>14.263282266658029</v>
      </c>
      <c r="S37" s="13">
        <f>'TR TUSD'!$S$37*'TR TUSD'!$S$60</f>
        <v>0</v>
      </c>
      <c r="T37" s="13">
        <f ca="1">SUM($L$37:$S$37)</f>
        <v>138.47939735076284</v>
      </c>
      <c r="U37" s="13">
        <f>'TR TUSD'!$U$37*'TR TUSD'!$U$60</f>
        <v>0</v>
      </c>
      <c r="V37" s="13">
        <f>'TR TUSD'!$V$37*'TR TUSD'!$V$60</f>
        <v>0</v>
      </c>
      <c r="W37" s="13">
        <f>'TR TUSD'!$W$37*'TR TUSD'!$W$60</f>
        <v>0</v>
      </c>
      <c r="X37" s="13">
        <f>'TR TUSD'!$X$37*'TR TUSD'!$X$60</f>
        <v>0</v>
      </c>
      <c r="Y37" s="13">
        <f>'TR TUSD'!$Y$37*'TR TUSD'!$Y$60</f>
        <v>159.61945287177366</v>
      </c>
      <c r="Z37" s="13">
        <f>'TR TUSD'!$Z$37</f>
        <v>0</v>
      </c>
      <c r="AA37" s="13">
        <f>'TR TUSD'!$AA$37</f>
        <v>0</v>
      </c>
      <c r="AB37" s="13">
        <f>SUM($U$37:$AA$37)</f>
        <v>159.61945287177366</v>
      </c>
      <c r="AC37" s="13">
        <f>'TR TUSD'!$AC$37*'TR TUSD'!$AC$60</f>
        <v>497.59236406905552</v>
      </c>
      <c r="AD37" s="13">
        <f>SUM($AC$37:$AC$37)</f>
        <v>497.59236406905552</v>
      </c>
      <c r="AE37" s="13">
        <v>0</v>
      </c>
      <c r="AF37" s="13">
        <v>0</v>
      </c>
      <c r="AG37" s="13">
        <f>SUM($AE$37:$AF$37)</f>
        <v>0</v>
      </c>
      <c r="AH37" s="13">
        <f>'TR TUSD'!$AH$37*'TR TUSD'!$AH$60</f>
        <v>13.110315065948088</v>
      </c>
      <c r="AI37" s="13">
        <f>'TR TUSD'!$AI$37*'TR TUSD'!$AI$60</f>
        <v>0</v>
      </c>
      <c r="AJ37" s="13">
        <f ca="1">'TR TUSD'!$AJ$37*'TR TUSD'!$AJ$60</f>
        <v>0</v>
      </c>
      <c r="AK37" s="13">
        <f ca="1">'TR TUSD'!$AK$37*'TR TUSD'!$AK$60</f>
        <v>0</v>
      </c>
      <c r="AL37" s="13">
        <f ca="1">SUM($AH$37:$AK$37)</f>
        <v>13.110315065948088</v>
      </c>
      <c r="AM37" s="13">
        <f ca="1">SUMIF($L$4:$AL$4,"SUBTOTAL",$L$37:$AL$37)</f>
        <v>808.80152935754006</v>
      </c>
      <c r="AP37" s="13">
        <f>IF((1 - CUSTOS!$M$29)&lt;&gt;0,1/(1 - CUSTOS!$M$29),1)</f>
        <v>1</v>
      </c>
    </row>
    <row r="38" spans="1:42" ht="11.25" customHeight="1" x14ac:dyDescent="0.25">
      <c r="A38" s="103"/>
      <c r="B38" s="103" t="s">
        <v>76</v>
      </c>
      <c r="C38" s="103" t="s">
        <v>32</v>
      </c>
      <c r="D38" s="103" t="s">
        <v>80</v>
      </c>
      <c r="E38" s="103" t="s">
        <v>25</v>
      </c>
      <c r="F38" s="103" t="s">
        <v>25</v>
      </c>
      <c r="G38" s="24" t="s">
        <v>61</v>
      </c>
      <c r="H38" s="24" t="s">
        <v>60</v>
      </c>
      <c r="I38" s="24">
        <f>'MERCADO TUSD'!$U$35</f>
        <v>0</v>
      </c>
      <c r="J38" s="15"/>
      <c r="L38" s="13">
        <f>'TR TUSD'!$L$38*'TR TUSD'!$L$60</f>
        <v>31.718954004593161</v>
      </c>
      <c r="M38" s="13">
        <f>'TR TUSD'!$M$38*'TR TUSD'!$M$60</f>
        <v>2.3043606176318141</v>
      </c>
      <c r="N38" s="13">
        <f ca="1">'TR TUSD'!$N$38*'TR TUSD'!$N$60</f>
        <v>0</v>
      </c>
      <c r="O38" s="13">
        <f>'TR TUSD'!$O$38*'TR TUSD'!$O$60</f>
        <v>0</v>
      </c>
      <c r="P38" s="13">
        <f>'TR TUSD'!$P$38*'TR TUSD'!$P$60</f>
        <v>0</v>
      </c>
      <c r="Q38" s="13">
        <f>'TR TUSD'!$Q$38*'TR TUSD'!$Q$60</f>
        <v>90.192800461879841</v>
      </c>
      <c r="R38" s="13">
        <f>'TR TUSD'!$R$38*'TR TUSD'!$R$60</f>
        <v>14.263282266658029</v>
      </c>
      <c r="S38" s="13">
        <f>'TR TUSD'!$S$38*'TR TUSD'!$S$60</f>
        <v>0</v>
      </c>
      <c r="T38" s="13">
        <f ca="1">SUM($L$38:$S$38)</f>
        <v>138.47939735076284</v>
      </c>
      <c r="U38" s="13">
        <f>'TR TUSD'!$U$38*'TR TUSD'!$U$60</f>
        <v>0</v>
      </c>
      <c r="V38" s="13">
        <f>'TR TUSD'!$V$38*'TR TUSD'!$V$60</f>
        <v>0</v>
      </c>
      <c r="W38" s="13">
        <f>'TR TUSD'!$W$38*'TR TUSD'!$W$60</f>
        <v>0</v>
      </c>
      <c r="X38" s="13">
        <f>'TR TUSD'!$X$38*'TR TUSD'!$X$60</f>
        <v>0</v>
      </c>
      <c r="Y38" s="13">
        <f>'TR TUSD'!$Y$38*'TR TUSD'!$Y$60</f>
        <v>470.89691404332405</v>
      </c>
      <c r="Z38" s="13">
        <f>'TR TUSD'!$Z$38</f>
        <v>0</v>
      </c>
      <c r="AA38" s="13">
        <f>'TR TUSD'!$AA$38</f>
        <v>0</v>
      </c>
      <c r="AB38" s="13">
        <f>SUM($U$38:$AA$38)</f>
        <v>470.89691404332405</v>
      </c>
      <c r="AC38" s="13">
        <f>'TR TUSD'!$AC$38*'TR TUSD'!$AC$60</f>
        <v>1467.8975075281273</v>
      </c>
      <c r="AD38" s="13">
        <f>SUM($AC$38:$AC$38)</f>
        <v>1467.8975075281273</v>
      </c>
      <c r="AE38" s="13">
        <v>0</v>
      </c>
      <c r="AF38" s="13">
        <v>0</v>
      </c>
      <c r="AG38" s="13">
        <f>SUM($AE$38:$AF$38)</f>
        <v>0</v>
      </c>
      <c r="AH38" s="13">
        <f>'TR TUSD'!$AH$38*'TR TUSD'!$AH$60</f>
        <v>13.110315065948088</v>
      </c>
      <c r="AI38" s="13">
        <f>'TR TUSD'!$AI$38*'TR TUSD'!$AI$60</f>
        <v>0</v>
      </c>
      <c r="AJ38" s="13">
        <f ca="1">'TR TUSD'!$AJ$38*'TR TUSD'!$AJ$60</f>
        <v>0</v>
      </c>
      <c r="AK38" s="13">
        <f ca="1">'TR TUSD'!$AK$38*'TR TUSD'!$AK$60</f>
        <v>0</v>
      </c>
      <c r="AL38" s="13">
        <f ca="1">SUM($AH$38:$AK$38)</f>
        <v>13.110315065948088</v>
      </c>
      <c r="AM38" s="13">
        <f ca="1">SUMIF($L$4:$AL$4,"SUBTOTAL",$L$38:$AL$38)</f>
        <v>2090.3841339881624</v>
      </c>
      <c r="AP38" s="13">
        <f>IF((1 - CUSTOS!$M$30)&lt;&gt;0,1/(1 - CUSTOS!$M$30),1)</f>
        <v>1</v>
      </c>
    </row>
    <row r="39" spans="1:42" ht="11.25" customHeight="1" x14ac:dyDescent="0.25">
      <c r="A39" s="103"/>
      <c r="B39" s="103"/>
      <c r="C39" s="103"/>
      <c r="D39" s="103"/>
      <c r="E39" s="103"/>
      <c r="F39" s="103"/>
      <c r="G39" s="24" t="s">
        <v>74</v>
      </c>
      <c r="H39" s="24" t="s">
        <v>60</v>
      </c>
      <c r="I39" s="24">
        <f>'MERCADO TUSD'!$U$36</f>
        <v>0</v>
      </c>
      <c r="J39" s="15"/>
      <c r="L39" s="13">
        <f>'TR TUSD'!$L$39*'TR TUSD'!$L$60</f>
        <v>31.718954004593161</v>
      </c>
      <c r="M39" s="13">
        <f>'TR TUSD'!$M$39*'TR TUSD'!$M$60</f>
        <v>2.3043606176318141</v>
      </c>
      <c r="N39" s="13">
        <f ca="1">'TR TUSD'!$N$39*'TR TUSD'!$N$60</f>
        <v>0</v>
      </c>
      <c r="O39" s="13">
        <f>'TR TUSD'!$O$39*'TR TUSD'!$O$60</f>
        <v>0</v>
      </c>
      <c r="P39" s="13">
        <f>'TR TUSD'!$P$39*'TR TUSD'!$P$60</f>
        <v>0</v>
      </c>
      <c r="Q39" s="13">
        <f>'TR TUSD'!$Q$39*'TR TUSD'!$Q$60</f>
        <v>90.192800461879841</v>
      </c>
      <c r="R39" s="13">
        <f>'TR TUSD'!$R$39*'TR TUSD'!$R$60</f>
        <v>14.263282266658029</v>
      </c>
      <c r="S39" s="13">
        <f>'TR TUSD'!$S$39*'TR TUSD'!$S$60</f>
        <v>0</v>
      </c>
      <c r="T39" s="13">
        <f ca="1">SUM($L$39:$S$39)</f>
        <v>138.47939735076284</v>
      </c>
      <c r="U39" s="13">
        <f>'TR TUSD'!$U$39*'TR TUSD'!$U$60</f>
        <v>0</v>
      </c>
      <c r="V39" s="13">
        <f>'TR TUSD'!$V$39*'TR TUSD'!$V$60</f>
        <v>0</v>
      </c>
      <c r="W39" s="13">
        <f>'TR TUSD'!$W$39*'TR TUSD'!$W$60</f>
        <v>0</v>
      </c>
      <c r="X39" s="13">
        <f>'TR TUSD'!$X$39*'TR TUSD'!$X$60</f>
        <v>0</v>
      </c>
      <c r="Y39" s="13">
        <f>'TR TUSD'!$Y$39*'TR TUSD'!$Y$60</f>
        <v>282.5066845921001</v>
      </c>
      <c r="Z39" s="13">
        <f>'TR TUSD'!$Z$39</f>
        <v>0</v>
      </c>
      <c r="AA39" s="13">
        <f>'TR TUSD'!$AA$39</f>
        <v>0</v>
      </c>
      <c r="AB39" s="13">
        <f>SUM($U$39:$AA$39)</f>
        <v>282.5066845921001</v>
      </c>
      <c r="AC39" s="13">
        <f>'TR TUSD'!$AC$39*'TR TUSD'!$AC$60</f>
        <v>880.738191622351</v>
      </c>
      <c r="AD39" s="13">
        <f>SUM($AC$39:$AC$39)</f>
        <v>880.738191622351</v>
      </c>
      <c r="AE39" s="13">
        <v>0</v>
      </c>
      <c r="AF39" s="13">
        <v>0</v>
      </c>
      <c r="AG39" s="13">
        <f>SUM($AE$39:$AF$39)</f>
        <v>0</v>
      </c>
      <c r="AH39" s="13">
        <f>'TR TUSD'!$AH$39*'TR TUSD'!$AH$60</f>
        <v>13.110315065948088</v>
      </c>
      <c r="AI39" s="13">
        <f>'TR TUSD'!$AI$39*'TR TUSD'!$AI$60</f>
        <v>0</v>
      </c>
      <c r="AJ39" s="13">
        <f ca="1">'TR TUSD'!$AJ$39*'TR TUSD'!$AJ$60</f>
        <v>0</v>
      </c>
      <c r="AK39" s="13">
        <f ca="1">'TR TUSD'!$AK$39*'TR TUSD'!$AK$60</f>
        <v>0</v>
      </c>
      <c r="AL39" s="13">
        <f ca="1">SUM($AH$39:$AK$39)</f>
        <v>13.110315065948088</v>
      </c>
      <c r="AM39" s="13">
        <f ca="1">SUMIF($L$4:$AL$4,"SUBTOTAL",$L$39:$AL$39)</f>
        <v>1314.834588631162</v>
      </c>
      <c r="AP39" s="13">
        <f>IF((1 - CUSTOS!$M$30)&lt;&gt;0,1/(1 - CUSTOS!$M$30),1)</f>
        <v>1</v>
      </c>
    </row>
    <row r="40" spans="1:42" ht="11.25" customHeight="1" x14ac:dyDescent="0.25">
      <c r="A40" s="103"/>
      <c r="B40" s="103"/>
      <c r="C40" s="103"/>
      <c r="D40" s="103"/>
      <c r="E40" s="103"/>
      <c r="F40" s="103"/>
      <c r="G40" s="24" t="s">
        <v>62</v>
      </c>
      <c r="H40" s="24" t="s">
        <v>60</v>
      </c>
      <c r="I40" s="24">
        <f>'MERCADO TUSD'!$U$37</f>
        <v>0</v>
      </c>
      <c r="J40" s="15"/>
      <c r="L40" s="13">
        <f>'TR TUSD'!$L$40*'TR TUSD'!$L$60</f>
        <v>31.718954004593161</v>
      </c>
      <c r="M40" s="13">
        <f>'TR TUSD'!$M$40*'TR TUSD'!$M$60</f>
        <v>2.3043606176318141</v>
      </c>
      <c r="N40" s="13">
        <f ca="1">'TR TUSD'!$N$40*'TR TUSD'!$N$60</f>
        <v>0</v>
      </c>
      <c r="O40" s="13">
        <f>'TR TUSD'!$O$40*'TR TUSD'!$O$60</f>
        <v>0</v>
      </c>
      <c r="P40" s="13">
        <f>'TR TUSD'!$P$40*'TR TUSD'!$P$60</f>
        <v>0</v>
      </c>
      <c r="Q40" s="13">
        <f>'TR TUSD'!$Q$40*'TR TUSD'!$Q$60</f>
        <v>90.192800461879841</v>
      </c>
      <c r="R40" s="13">
        <f>'TR TUSD'!$R$40*'TR TUSD'!$R$60</f>
        <v>14.263282266658029</v>
      </c>
      <c r="S40" s="13">
        <f>'TR TUSD'!$S$40*'TR TUSD'!$S$60</f>
        <v>0</v>
      </c>
      <c r="T40" s="13">
        <f ca="1">SUM($L$40:$S$40)</f>
        <v>138.47939735076284</v>
      </c>
      <c r="U40" s="13">
        <f>'TR TUSD'!$U$40*'TR TUSD'!$U$60</f>
        <v>0</v>
      </c>
      <c r="V40" s="13">
        <f>'TR TUSD'!$V$40*'TR TUSD'!$V$60</f>
        <v>0</v>
      </c>
      <c r="W40" s="13">
        <f>'TR TUSD'!$W$40*'TR TUSD'!$W$60</f>
        <v>0</v>
      </c>
      <c r="X40" s="13">
        <f>'TR TUSD'!$X$40*'TR TUSD'!$X$60</f>
        <v>0</v>
      </c>
      <c r="Y40" s="13">
        <f>'TR TUSD'!$Y$40*'TR TUSD'!$Y$60</f>
        <v>94.116338694414708</v>
      </c>
      <c r="Z40" s="13">
        <f>'TR TUSD'!$Z$40</f>
        <v>0</v>
      </c>
      <c r="AA40" s="13">
        <f>'TR TUSD'!$AA$40</f>
        <v>0</v>
      </c>
      <c r="AB40" s="13">
        <f>SUM($U$40:$AA$40)</f>
        <v>94.116338694414708</v>
      </c>
      <c r="AC40" s="13">
        <f>'TR TUSD'!$AC$40*'TR TUSD'!$AC$60</f>
        <v>293.57943445679865</v>
      </c>
      <c r="AD40" s="13">
        <f>SUM($AC$40:$AC$40)</f>
        <v>293.57943445679865</v>
      </c>
      <c r="AE40" s="13">
        <v>0</v>
      </c>
      <c r="AF40" s="13">
        <v>0</v>
      </c>
      <c r="AG40" s="13">
        <f>SUM($AE$40:$AF$40)</f>
        <v>0</v>
      </c>
      <c r="AH40" s="13">
        <f>'TR TUSD'!$AH$40*'TR TUSD'!$AH$60</f>
        <v>13.110315065948088</v>
      </c>
      <c r="AI40" s="13">
        <f>'TR TUSD'!$AI$40*'TR TUSD'!$AI$60</f>
        <v>0</v>
      </c>
      <c r="AJ40" s="13">
        <f ca="1">'TR TUSD'!$AJ$40*'TR TUSD'!$AJ$60</f>
        <v>0</v>
      </c>
      <c r="AK40" s="13">
        <f ca="1">'TR TUSD'!$AK$40*'TR TUSD'!$AK$60</f>
        <v>0</v>
      </c>
      <c r="AL40" s="13">
        <f ca="1">SUM($AH$40:$AK$40)</f>
        <v>13.110315065948088</v>
      </c>
      <c r="AM40" s="13">
        <f ca="1">SUMIF($L$4:$AL$4,"SUBTOTAL",$L$40:$AL$40)</f>
        <v>539.2854855679243</v>
      </c>
      <c r="AP40" s="13">
        <f>IF((1 - CUSTOS!$M$30)&lt;&gt;0,1/(1 - CUSTOS!$M$30),1)</f>
        <v>1</v>
      </c>
    </row>
    <row r="41" spans="1:42" ht="11.25" customHeight="1" x14ac:dyDescent="0.25">
      <c r="A41" s="103"/>
      <c r="B41" s="23" t="s">
        <v>23</v>
      </c>
      <c r="C41" s="23" t="s">
        <v>32</v>
      </c>
      <c r="D41" s="23" t="s">
        <v>80</v>
      </c>
      <c r="E41" s="23" t="s">
        <v>25</v>
      </c>
      <c r="F41" s="23" t="s">
        <v>25</v>
      </c>
      <c r="G41" s="24" t="s">
        <v>67</v>
      </c>
      <c r="H41" s="24" t="s">
        <v>60</v>
      </c>
      <c r="I41" s="24">
        <f>'MERCADO TUSD'!$U$38</f>
        <v>0</v>
      </c>
      <c r="J41" s="15"/>
      <c r="L41" s="13">
        <f>'TR TUSD'!$L$41*'TR TUSD'!$L$60</f>
        <v>31.718954004593161</v>
      </c>
      <c r="M41" s="13">
        <f>'TR TUSD'!$M$41*'TR TUSD'!$M$60</f>
        <v>2.3043606176318141</v>
      </c>
      <c r="N41" s="13">
        <f ca="1">'TR TUSD'!$N$41*'TR TUSD'!$N$60</f>
        <v>0</v>
      </c>
      <c r="O41" s="13">
        <f>'TR TUSD'!$O$41*'TR TUSD'!$O$60</f>
        <v>0</v>
      </c>
      <c r="P41" s="13">
        <f>'TR TUSD'!$P$41*'TR TUSD'!$P$60</f>
        <v>0</v>
      </c>
      <c r="Q41" s="13">
        <f>'TR TUSD'!$Q$41*'TR TUSD'!$Q$60</f>
        <v>90.192800461879841</v>
      </c>
      <c r="R41" s="13">
        <f>'TR TUSD'!$R$41*'TR TUSD'!$R$60</f>
        <v>14.263282266658029</v>
      </c>
      <c r="S41" s="13">
        <f>'TR TUSD'!$S$41*'TR TUSD'!$S$60</f>
        <v>0</v>
      </c>
      <c r="T41" s="13">
        <f ca="1">SUM($L$41:$S$41)</f>
        <v>138.47939735076284</v>
      </c>
      <c r="U41" s="13">
        <f>'TR TUSD'!$U$41*'TR TUSD'!$U$60</f>
        <v>0</v>
      </c>
      <c r="V41" s="13">
        <f>'TR TUSD'!$V$41*'TR TUSD'!$V$60</f>
        <v>0</v>
      </c>
      <c r="W41" s="13">
        <f>'TR TUSD'!$W$41*'TR TUSD'!$W$60</f>
        <v>0</v>
      </c>
      <c r="X41" s="13">
        <f>'TR TUSD'!$X$41*'TR TUSD'!$X$60</f>
        <v>0</v>
      </c>
      <c r="Y41" s="13">
        <f>'TR TUSD'!$Y$41*'TR TUSD'!$Y$60</f>
        <v>159.61945287177366</v>
      </c>
      <c r="Z41" s="13">
        <f>'TR TUSD'!$Z$41</f>
        <v>0</v>
      </c>
      <c r="AA41" s="13">
        <f>'TR TUSD'!$AA$41</f>
        <v>0</v>
      </c>
      <c r="AB41" s="13">
        <f>SUM($U$41:$AA$41)</f>
        <v>159.61945287177366</v>
      </c>
      <c r="AC41" s="13">
        <f>'TR TUSD'!$AC$41*'TR TUSD'!$AC$60</f>
        <v>497.59236406905552</v>
      </c>
      <c r="AD41" s="13">
        <f>SUM($AC$41:$AC$41)</f>
        <v>497.59236406905552</v>
      </c>
      <c r="AE41" s="13">
        <v>0</v>
      </c>
      <c r="AF41" s="13">
        <v>0</v>
      </c>
      <c r="AG41" s="13">
        <f>SUM($AE$41:$AF$41)</f>
        <v>0</v>
      </c>
      <c r="AH41" s="13">
        <f>'TR TUSD'!$AH$41*'TR TUSD'!$AH$60</f>
        <v>13.110315065948088</v>
      </c>
      <c r="AI41" s="13">
        <f>'TR TUSD'!$AI$41*'TR TUSD'!$AI$60</f>
        <v>0</v>
      </c>
      <c r="AJ41" s="13">
        <f ca="1">'TR TUSD'!$AJ$41*'TR TUSD'!$AJ$60</f>
        <v>0</v>
      </c>
      <c r="AK41" s="13">
        <f ca="1">'TR TUSD'!$AK$41*'TR TUSD'!$AK$60</f>
        <v>0</v>
      </c>
      <c r="AL41" s="13">
        <f ca="1">SUM($AH$41:$AK$41)</f>
        <v>13.110315065948088</v>
      </c>
      <c r="AM41" s="13">
        <f ca="1">SUMIF($L$4:$AL$4,"SUBTOTAL",$L$41:$AL$41)</f>
        <v>808.80152935754006</v>
      </c>
      <c r="AP41" s="13">
        <f>IF((1 - CUSTOS!$M$30)&lt;&gt;0,1/(1 - CUSTOS!$M$30),1)</f>
        <v>1</v>
      </c>
    </row>
    <row r="42" spans="1:42" ht="11.25" customHeight="1" x14ac:dyDescent="0.25">
      <c r="A42" s="103"/>
      <c r="B42" s="103" t="s">
        <v>78</v>
      </c>
      <c r="C42" s="103" t="s">
        <v>32</v>
      </c>
      <c r="D42" s="23" t="s">
        <v>25</v>
      </c>
      <c r="E42" s="23" t="s">
        <v>25</v>
      </c>
      <c r="F42" s="23" t="s">
        <v>25</v>
      </c>
      <c r="G42" s="24" t="s">
        <v>67</v>
      </c>
      <c r="H42" s="24" t="s">
        <v>60</v>
      </c>
      <c r="I42" s="24">
        <f>'MERCADO TUSD'!$U$39</f>
        <v>0</v>
      </c>
      <c r="J42" s="15"/>
      <c r="L42" s="13">
        <f>'TR TUSD'!$L$42*'TR TUSD'!$L$60</f>
        <v>31.718954004593161</v>
      </c>
      <c r="M42" s="13">
        <f>'TR TUSD'!$M$42*'TR TUSD'!$M$60</f>
        <v>2.3043606176318141</v>
      </c>
      <c r="N42" s="13">
        <f ca="1">'TR TUSD'!$N$42*'TR TUSD'!$N$60</f>
        <v>0</v>
      </c>
      <c r="O42" s="13">
        <f>'TR TUSD'!$O$42*'TR TUSD'!$O$60</f>
        <v>0</v>
      </c>
      <c r="P42" s="13">
        <f>'TR TUSD'!$P$42*'TR TUSD'!$P$60</f>
        <v>0</v>
      </c>
      <c r="Q42" s="13">
        <f>'TR TUSD'!$Q$42*'TR TUSD'!$Q$60</f>
        <v>90.192800461879841</v>
      </c>
      <c r="R42" s="13">
        <f>'TR TUSD'!$R$42*'TR TUSD'!$R$60</f>
        <v>14.263282266658029</v>
      </c>
      <c r="S42" s="13">
        <f>'TR TUSD'!$S$42*'TR TUSD'!$S$60</f>
        <v>0</v>
      </c>
      <c r="T42" s="13">
        <f ca="1">SUM($L$42:$S$42)</f>
        <v>138.47939735076284</v>
      </c>
      <c r="U42" s="13">
        <f>'TR TUSD'!$U$42*'TR TUSD'!$U$60</f>
        <v>0</v>
      </c>
      <c r="V42" s="13">
        <f>'TR TUSD'!$V$42*'TR TUSD'!$V$60</f>
        <v>0</v>
      </c>
      <c r="W42" s="13">
        <f>'TR TUSD'!$W$42*'TR TUSD'!$W$60</f>
        <v>0</v>
      </c>
      <c r="X42" s="13">
        <f>'TR TUSD'!$X$42*'TR TUSD'!$X$60</f>
        <v>0</v>
      </c>
      <c r="Y42" s="13">
        <f>'TR TUSD'!$Y$42*'TR TUSD'!$Y$60</f>
        <v>159.61945287177366</v>
      </c>
      <c r="Z42" s="13">
        <f>'TR TUSD'!$Z$42</f>
        <v>0</v>
      </c>
      <c r="AA42" s="13">
        <f>'TR TUSD'!$AA$42</f>
        <v>0</v>
      </c>
      <c r="AB42" s="13">
        <f>SUM($U$42:$AA$42)</f>
        <v>159.61945287177366</v>
      </c>
      <c r="AC42" s="13">
        <f>'TR TUSD'!$AC$42*'TR TUSD'!$AC$60</f>
        <v>497.59236406905552</v>
      </c>
      <c r="AD42" s="13">
        <f>SUM($AC$42:$AC$42)</f>
        <v>497.59236406905552</v>
      </c>
      <c r="AE42" s="13">
        <v>0</v>
      </c>
      <c r="AF42" s="13">
        <v>0</v>
      </c>
      <c r="AG42" s="13">
        <f>SUM($AE$42:$AF$42)</f>
        <v>0</v>
      </c>
      <c r="AH42" s="13">
        <f>'TR TUSD'!$AH$42*'TR TUSD'!$AH$60</f>
        <v>13.110315065948088</v>
      </c>
      <c r="AI42" s="13">
        <f>'TR TUSD'!$AI$42*'TR TUSD'!$AI$60</f>
        <v>0</v>
      </c>
      <c r="AJ42" s="13">
        <f ca="1">'TR TUSD'!$AJ$42*'TR TUSD'!$AJ$60</f>
        <v>0</v>
      </c>
      <c r="AK42" s="13">
        <f ca="1">'TR TUSD'!$AK$42*'TR TUSD'!$AK$60</f>
        <v>0</v>
      </c>
      <c r="AL42" s="13">
        <f ca="1">SUM($AH$42:$AK$42)</f>
        <v>13.110315065948088</v>
      </c>
      <c r="AM42" s="13">
        <f ca="1">SUMIF($L$4:$AL$4,"SUBTOTAL",$L$42:$AL$42)</f>
        <v>808.80152935754006</v>
      </c>
      <c r="AP42" s="13">
        <f>IF((1 - CUSTOS!$M$28)&lt;&gt;0,1/(1 - CUSTOS!$M$28),1)</f>
        <v>1</v>
      </c>
    </row>
    <row r="43" spans="1:42" ht="11.25" customHeight="1" x14ac:dyDescent="0.25">
      <c r="A43" s="103"/>
      <c r="B43" s="103"/>
      <c r="C43" s="103"/>
      <c r="D43" s="23" t="s">
        <v>79</v>
      </c>
      <c r="E43" s="23" t="s">
        <v>25</v>
      </c>
      <c r="F43" s="23" t="s">
        <v>25</v>
      </c>
      <c r="G43" s="24" t="s">
        <v>67</v>
      </c>
      <c r="H43" s="24" t="s">
        <v>60</v>
      </c>
      <c r="I43" s="24">
        <f>'MERCADO TUSD'!$U$40</f>
        <v>0</v>
      </c>
      <c r="J43" s="15"/>
      <c r="L43" s="13">
        <f>'TR TUSD'!$L$43*'TR TUSD'!$L$60</f>
        <v>31.718954004593161</v>
      </c>
      <c r="M43" s="13">
        <f>'TR TUSD'!$M$43*'TR TUSD'!$M$60</f>
        <v>2.3043606176318141</v>
      </c>
      <c r="N43" s="13">
        <f ca="1">'TR TUSD'!$N$43*'TR TUSD'!$N$60</f>
        <v>0</v>
      </c>
      <c r="O43" s="13">
        <f>'TR TUSD'!$O$43*'TR TUSD'!$O$60</f>
        <v>0</v>
      </c>
      <c r="P43" s="13">
        <f>'TR TUSD'!$P$43*'TR TUSD'!$P$60</f>
        <v>0</v>
      </c>
      <c r="Q43" s="13">
        <f>'TR TUSD'!$Q$43*'TR TUSD'!$Q$60</f>
        <v>90.192800461879841</v>
      </c>
      <c r="R43" s="13">
        <f>'TR TUSD'!$R$43*'TR TUSD'!$R$60</f>
        <v>14.263282266658029</v>
      </c>
      <c r="S43" s="13">
        <f>'TR TUSD'!$S$43*'TR TUSD'!$S$60</f>
        <v>0</v>
      </c>
      <c r="T43" s="13">
        <f ca="1">SUM($L$43:$S$43)</f>
        <v>138.47939735076284</v>
      </c>
      <c r="U43" s="13">
        <f>'TR TUSD'!$U$43*'TR TUSD'!$U$60</f>
        <v>0</v>
      </c>
      <c r="V43" s="13">
        <f>'TR TUSD'!$V$43*'TR TUSD'!$V$60</f>
        <v>0</v>
      </c>
      <c r="W43" s="13">
        <f>'TR TUSD'!$W$43*'TR TUSD'!$W$60</f>
        <v>0</v>
      </c>
      <c r="X43" s="13">
        <f>'TR TUSD'!$X$43*'TR TUSD'!$X$60</f>
        <v>0</v>
      </c>
      <c r="Y43" s="13">
        <f>'TR TUSD'!$Y$43*'TR TUSD'!$Y$60</f>
        <v>159.61945287177366</v>
      </c>
      <c r="Z43" s="13">
        <f>'TR TUSD'!$Z$43</f>
        <v>0</v>
      </c>
      <c r="AA43" s="13">
        <f>'TR TUSD'!$AA$43</f>
        <v>0</v>
      </c>
      <c r="AB43" s="13">
        <f>SUM($U$43:$AA$43)</f>
        <v>159.61945287177366</v>
      </c>
      <c r="AC43" s="13">
        <f>'TR TUSD'!$AC$43*'TR TUSD'!$AC$60</f>
        <v>497.59236406905552</v>
      </c>
      <c r="AD43" s="13">
        <f>SUM($AC$43:$AC$43)</f>
        <v>497.59236406905552</v>
      </c>
      <c r="AE43" s="13">
        <v>0</v>
      </c>
      <c r="AF43" s="13">
        <v>0</v>
      </c>
      <c r="AG43" s="13">
        <f>SUM($AE$43:$AF$43)</f>
        <v>0</v>
      </c>
      <c r="AH43" s="13">
        <f>'TR TUSD'!$AH$43*'TR TUSD'!$AH$60</f>
        <v>13.110315065948088</v>
      </c>
      <c r="AI43" s="13">
        <f>'TR TUSD'!$AI$43*'TR TUSD'!$AI$60</f>
        <v>0</v>
      </c>
      <c r="AJ43" s="13">
        <f ca="1">'TR TUSD'!$AJ$43*'TR TUSD'!$AJ$60</f>
        <v>0</v>
      </c>
      <c r="AK43" s="13">
        <f ca="1">'TR TUSD'!$AK$43*'TR TUSD'!$AK$60</f>
        <v>0</v>
      </c>
      <c r="AL43" s="13">
        <f ca="1">SUM($AH$43:$AK$43)</f>
        <v>13.110315065948088</v>
      </c>
      <c r="AM43" s="13">
        <f ca="1">SUMIF($L$4:$AL$4,"SUBTOTAL",$L$43:$AL$43)</f>
        <v>808.80152935754006</v>
      </c>
      <c r="AP43" s="13">
        <f>IF((1 - CUSTOS!$M$29)&lt;&gt;0,1/(1 - CUSTOS!$M$29),1)</f>
        <v>1</v>
      </c>
    </row>
    <row r="44" spans="1:42" ht="11.25" customHeight="1" x14ac:dyDescent="0.25">
      <c r="A44" s="103"/>
      <c r="B44" s="103"/>
      <c r="C44" s="103"/>
      <c r="D44" s="23" t="s">
        <v>80</v>
      </c>
      <c r="E44" s="23" t="s">
        <v>25</v>
      </c>
      <c r="F44" s="23" t="s">
        <v>25</v>
      </c>
      <c r="G44" s="24" t="s">
        <v>67</v>
      </c>
      <c r="H44" s="24" t="s">
        <v>60</v>
      </c>
      <c r="I44" s="24">
        <f>'MERCADO TUSD'!$U$41</f>
        <v>0</v>
      </c>
      <c r="J44" s="15"/>
      <c r="L44" s="13">
        <f>'TR TUSD'!$L$44*'TR TUSD'!$L$60</f>
        <v>31.718954004593161</v>
      </c>
      <c r="M44" s="13">
        <f>'TR TUSD'!$M$44*'TR TUSD'!$M$60</f>
        <v>2.3043606176318141</v>
      </c>
      <c r="N44" s="13">
        <f ca="1">'TR TUSD'!$N$44*'TR TUSD'!$N$60</f>
        <v>0</v>
      </c>
      <c r="O44" s="13">
        <f>'TR TUSD'!$O$44*'TR TUSD'!$O$60</f>
        <v>0</v>
      </c>
      <c r="P44" s="13">
        <f>'TR TUSD'!$P$44*'TR TUSD'!$P$60</f>
        <v>0</v>
      </c>
      <c r="Q44" s="13">
        <f>'TR TUSD'!$Q$44*'TR TUSD'!$Q$60</f>
        <v>90.192800461879841</v>
      </c>
      <c r="R44" s="13">
        <f>'TR TUSD'!$R$44*'TR TUSD'!$R$60</f>
        <v>14.263282266658029</v>
      </c>
      <c r="S44" s="13">
        <f>'TR TUSD'!$S$44*'TR TUSD'!$S$60</f>
        <v>0</v>
      </c>
      <c r="T44" s="13">
        <f ca="1">SUM($L$44:$S$44)</f>
        <v>138.47939735076284</v>
      </c>
      <c r="U44" s="13">
        <f>'TR TUSD'!$U$44*'TR TUSD'!$U$60</f>
        <v>0</v>
      </c>
      <c r="V44" s="13">
        <f>'TR TUSD'!$V$44*'TR TUSD'!$V$60</f>
        <v>0</v>
      </c>
      <c r="W44" s="13">
        <f>'TR TUSD'!$W$44*'TR TUSD'!$W$60</f>
        <v>0</v>
      </c>
      <c r="X44" s="13">
        <f>'TR TUSD'!$X$44*'TR TUSD'!$X$60</f>
        <v>0</v>
      </c>
      <c r="Y44" s="13">
        <f>'TR TUSD'!$Y$44*'TR TUSD'!$Y$60</f>
        <v>159.61945287177366</v>
      </c>
      <c r="Z44" s="13">
        <f>'TR TUSD'!$Z$44</f>
        <v>0</v>
      </c>
      <c r="AA44" s="13">
        <f>'TR TUSD'!$AA$44</f>
        <v>0</v>
      </c>
      <c r="AB44" s="13">
        <f>SUM($U$44:$AA$44)</f>
        <v>159.61945287177366</v>
      </c>
      <c r="AC44" s="13">
        <f>'TR TUSD'!$AC$44*'TR TUSD'!$AC$60</f>
        <v>497.59236406905552</v>
      </c>
      <c r="AD44" s="13">
        <f>SUM($AC$44:$AC$44)</f>
        <v>497.59236406905552</v>
      </c>
      <c r="AE44" s="13">
        <v>0</v>
      </c>
      <c r="AF44" s="13">
        <v>0</v>
      </c>
      <c r="AG44" s="13">
        <f>SUM($AE$44:$AF$44)</f>
        <v>0</v>
      </c>
      <c r="AH44" s="13">
        <f>'TR TUSD'!$AH$44*'TR TUSD'!$AH$60</f>
        <v>13.110315065948088</v>
      </c>
      <c r="AI44" s="13">
        <f>'TR TUSD'!$AI$44*'TR TUSD'!$AI$60</f>
        <v>0</v>
      </c>
      <c r="AJ44" s="13">
        <f ca="1">'TR TUSD'!$AJ$44*'TR TUSD'!$AJ$60</f>
        <v>0</v>
      </c>
      <c r="AK44" s="13">
        <f ca="1">'TR TUSD'!$AK$44*'TR TUSD'!$AK$60</f>
        <v>0</v>
      </c>
      <c r="AL44" s="13">
        <f ca="1">SUM($AH$44:$AK$44)</f>
        <v>13.110315065948088</v>
      </c>
      <c r="AM44" s="13">
        <f ca="1">SUMIF($L$4:$AL$4,"SUBTOTAL",$L$44:$AL$44)</f>
        <v>808.80152935754006</v>
      </c>
      <c r="AP44" s="13">
        <f>IF((1 - CUSTOS!$M$30)&lt;&gt;0,1/(1 - CUSTOS!$M$30),1)</f>
        <v>1</v>
      </c>
    </row>
    <row r="45" spans="1:42" ht="11.25" customHeight="1" x14ac:dyDescent="0.25">
      <c r="A45" s="103" t="s">
        <v>28</v>
      </c>
      <c r="B45" s="103" t="s">
        <v>76</v>
      </c>
      <c r="C45" s="103" t="s">
        <v>25</v>
      </c>
      <c r="D45" s="103" t="s">
        <v>25</v>
      </c>
      <c r="E45" s="103" t="s">
        <v>25</v>
      </c>
      <c r="F45" s="103" t="s">
        <v>25</v>
      </c>
      <c r="G45" s="24" t="s">
        <v>61</v>
      </c>
      <c r="H45" s="24" t="s">
        <v>60</v>
      </c>
      <c r="I45" s="24">
        <f>'MERCADO TUSD'!$U$42</f>
        <v>0</v>
      </c>
      <c r="J45" s="15"/>
      <c r="L45" s="13">
        <f>'TR TUSD'!$L$45*'TR TUSD'!$L$60</f>
        <v>31.718954004593161</v>
      </c>
      <c r="M45" s="13">
        <f>'TR TUSD'!$M$45*'TR TUSD'!$M$60</f>
        <v>2.3043606176318141</v>
      </c>
      <c r="N45" s="13">
        <f ca="1">'TR TUSD'!$N$45*'TR TUSD'!$N$60</f>
        <v>0</v>
      </c>
      <c r="O45" s="13">
        <f>'TR TUSD'!$O$45*'TR TUSD'!$O$60</f>
        <v>0</v>
      </c>
      <c r="P45" s="13">
        <f>'TR TUSD'!$P$45*'TR TUSD'!$P$60</f>
        <v>0</v>
      </c>
      <c r="Q45" s="13">
        <f>'TR TUSD'!$Q$45*'TR TUSD'!$Q$60</f>
        <v>90.192800461879841</v>
      </c>
      <c r="R45" s="13">
        <f>'TR TUSD'!$R$45*'TR TUSD'!$R$60</f>
        <v>14.263282266658029</v>
      </c>
      <c r="S45" s="13">
        <f>'TR TUSD'!$S$45*'TR TUSD'!$S$60</f>
        <v>0</v>
      </c>
      <c r="T45" s="13">
        <f ca="1">SUM($L$45:$S$45)</f>
        <v>138.47939735076284</v>
      </c>
      <c r="U45" s="13">
        <f>'TR TUSD'!$U$45*'TR TUSD'!$U$60</f>
        <v>0</v>
      </c>
      <c r="V45" s="13">
        <f>'TR TUSD'!$V$45*'TR TUSD'!$V$60</f>
        <v>0</v>
      </c>
      <c r="W45" s="13">
        <f>'TR TUSD'!$W$45*'TR TUSD'!$W$60</f>
        <v>0</v>
      </c>
      <c r="X45" s="13">
        <f>'TR TUSD'!$X$45*'TR TUSD'!$X$60</f>
        <v>0</v>
      </c>
      <c r="Y45" s="13">
        <f>'TR TUSD'!$Y$45*'TR TUSD'!$Y$60</f>
        <v>550.82495008408353</v>
      </c>
      <c r="Z45" s="13">
        <f>'TR TUSD'!$Z$45</f>
        <v>0</v>
      </c>
      <c r="AA45" s="13">
        <f>'TR TUSD'!$AA$45</f>
        <v>0</v>
      </c>
      <c r="AB45" s="13">
        <f>SUM($U$45:$AA$45)</f>
        <v>550.82495008408353</v>
      </c>
      <c r="AC45" s="13">
        <f>'TR TUSD'!$AC$45*'TR TUSD'!$AC$60</f>
        <v>1716.6931308224312</v>
      </c>
      <c r="AD45" s="13">
        <f>SUM($AC$45:$AC$45)</f>
        <v>1716.6931308224312</v>
      </c>
      <c r="AE45" s="13">
        <v>0</v>
      </c>
      <c r="AF45" s="13">
        <v>0</v>
      </c>
      <c r="AG45" s="13">
        <f>SUM($AE$45:$AF$45)</f>
        <v>0</v>
      </c>
      <c r="AH45" s="13">
        <f>'TR TUSD'!$AH$45*'TR TUSD'!$AH$60</f>
        <v>13.110315065948088</v>
      </c>
      <c r="AI45" s="13">
        <f>'TR TUSD'!$AI$45*'TR TUSD'!$AI$60</f>
        <v>0</v>
      </c>
      <c r="AJ45" s="13">
        <f ca="1">'TR TUSD'!$AJ$45*'TR TUSD'!$AJ$60</f>
        <v>0</v>
      </c>
      <c r="AK45" s="13">
        <f ca="1">'TR TUSD'!$AK$45*'TR TUSD'!$AK$60</f>
        <v>0</v>
      </c>
      <c r="AL45" s="13">
        <f ca="1">SUM($AH$45:$AK$45)</f>
        <v>13.110315065948088</v>
      </c>
      <c r="AM45" s="13">
        <f ca="1">SUMIF($L$4:$AL$4,"SUBTOTAL",$L$45:$AL$45)</f>
        <v>2419.1077933232259</v>
      </c>
      <c r="AP45" s="13">
        <f>IF((1 - CUSTOS!$M$31)&lt;&gt;0,1/(1 - CUSTOS!$M$31),1)</f>
        <v>1</v>
      </c>
    </row>
    <row r="46" spans="1:42" ht="11.25" customHeight="1" x14ac:dyDescent="0.25">
      <c r="A46" s="103"/>
      <c r="B46" s="103"/>
      <c r="C46" s="103"/>
      <c r="D46" s="103"/>
      <c r="E46" s="103"/>
      <c r="F46" s="103"/>
      <c r="G46" s="24" t="s">
        <v>74</v>
      </c>
      <c r="H46" s="24" t="s">
        <v>60</v>
      </c>
      <c r="I46" s="24">
        <f>'MERCADO TUSD'!$U$43</f>
        <v>0</v>
      </c>
      <c r="J46" s="15"/>
      <c r="L46" s="13">
        <f>'TR TUSD'!$L$46*'TR TUSD'!$L$60</f>
        <v>31.718954004593161</v>
      </c>
      <c r="M46" s="13">
        <f>'TR TUSD'!$M$46*'TR TUSD'!$M$60</f>
        <v>2.3043606176318141</v>
      </c>
      <c r="N46" s="13">
        <f ca="1">'TR TUSD'!$N$46*'TR TUSD'!$N$60</f>
        <v>0</v>
      </c>
      <c r="O46" s="13">
        <f>'TR TUSD'!$O$46*'TR TUSD'!$O$60</f>
        <v>0</v>
      </c>
      <c r="P46" s="13">
        <f>'TR TUSD'!$P$46*'TR TUSD'!$P$60</f>
        <v>0</v>
      </c>
      <c r="Q46" s="13">
        <f>'TR TUSD'!$Q$46*'TR TUSD'!$Q$60</f>
        <v>90.192800461879841</v>
      </c>
      <c r="R46" s="13">
        <f>'TR TUSD'!$R$46*'TR TUSD'!$R$60</f>
        <v>14.263282266658029</v>
      </c>
      <c r="S46" s="13">
        <f>'TR TUSD'!$S$46*'TR TUSD'!$S$60</f>
        <v>0</v>
      </c>
      <c r="T46" s="13">
        <f ca="1">SUM($L$46:$S$46)</f>
        <v>138.47939735076284</v>
      </c>
      <c r="U46" s="13">
        <f>'TR TUSD'!$U$46*'TR TUSD'!$U$60</f>
        <v>0</v>
      </c>
      <c r="V46" s="13">
        <f>'TR TUSD'!$V$46*'TR TUSD'!$V$60</f>
        <v>0</v>
      </c>
      <c r="W46" s="13">
        <f>'TR TUSD'!$W$46*'TR TUSD'!$W$60</f>
        <v>0</v>
      </c>
      <c r="X46" s="13">
        <f>'TR TUSD'!$X$46*'TR TUSD'!$X$60</f>
        <v>0</v>
      </c>
      <c r="Y46" s="13">
        <f>'TR TUSD'!$Y$46*'TR TUSD'!$Y$60</f>
        <v>330.43185606832316</v>
      </c>
      <c r="Z46" s="13">
        <f>'TR TUSD'!$Z$46</f>
        <v>0</v>
      </c>
      <c r="AA46" s="13">
        <f>'TR TUSD'!$AA$46</f>
        <v>0</v>
      </c>
      <c r="AB46" s="13">
        <f>SUM($U$46:$AA$46)</f>
        <v>330.43185606832316</v>
      </c>
      <c r="AC46" s="13">
        <f>'TR TUSD'!$AC$46*'TR TUSD'!$AC$60</f>
        <v>1030.0158114446319</v>
      </c>
      <c r="AD46" s="13">
        <f>SUM($AC$46:$AC$46)</f>
        <v>1030.0158114446319</v>
      </c>
      <c r="AE46" s="13">
        <v>0</v>
      </c>
      <c r="AF46" s="13">
        <v>0</v>
      </c>
      <c r="AG46" s="13">
        <f>SUM($AE$46:$AF$46)</f>
        <v>0</v>
      </c>
      <c r="AH46" s="13">
        <f>'TR TUSD'!$AH$46*'TR TUSD'!$AH$60</f>
        <v>13.110315065948088</v>
      </c>
      <c r="AI46" s="13">
        <f>'TR TUSD'!$AI$46*'TR TUSD'!$AI$60</f>
        <v>0</v>
      </c>
      <c r="AJ46" s="13">
        <f ca="1">'TR TUSD'!$AJ$46*'TR TUSD'!$AJ$60</f>
        <v>0</v>
      </c>
      <c r="AK46" s="13">
        <f ca="1">'TR TUSD'!$AK$46*'TR TUSD'!$AK$60</f>
        <v>0</v>
      </c>
      <c r="AL46" s="13">
        <f ca="1">SUM($AH$46:$AK$46)</f>
        <v>13.110315065948088</v>
      </c>
      <c r="AM46" s="13">
        <f ca="1">SUMIF($L$4:$AL$4,"SUBTOTAL",$L$46:$AL$46)</f>
        <v>1512.037379929666</v>
      </c>
      <c r="AP46" s="13">
        <f>IF((1 - CUSTOS!$M$31)&lt;&gt;0,1/(1 - CUSTOS!$M$31),1)</f>
        <v>1</v>
      </c>
    </row>
    <row r="47" spans="1:42" ht="11.25" customHeight="1" x14ac:dyDescent="0.25">
      <c r="A47" s="103"/>
      <c r="B47" s="103"/>
      <c r="C47" s="103"/>
      <c r="D47" s="103"/>
      <c r="E47" s="103"/>
      <c r="F47" s="103"/>
      <c r="G47" s="24" t="s">
        <v>62</v>
      </c>
      <c r="H47" s="24" t="s">
        <v>60</v>
      </c>
      <c r="I47" s="24">
        <f>'MERCADO TUSD'!$U$44</f>
        <v>0</v>
      </c>
      <c r="J47" s="15"/>
      <c r="L47" s="13">
        <f>'TR TUSD'!$L$47*'TR TUSD'!$L$60</f>
        <v>31.718954004593161</v>
      </c>
      <c r="M47" s="13">
        <f>'TR TUSD'!$M$47*'TR TUSD'!$M$60</f>
        <v>2.3043606176318141</v>
      </c>
      <c r="N47" s="13">
        <f ca="1">'TR TUSD'!$N$47*'TR TUSD'!$N$60</f>
        <v>0</v>
      </c>
      <c r="O47" s="13">
        <f>'TR TUSD'!$O$47*'TR TUSD'!$O$60</f>
        <v>0</v>
      </c>
      <c r="P47" s="13">
        <f>'TR TUSD'!$P$47*'TR TUSD'!$P$60</f>
        <v>0</v>
      </c>
      <c r="Q47" s="13">
        <f>'TR TUSD'!$Q$47*'TR TUSD'!$Q$60</f>
        <v>90.192800461879841</v>
      </c>
      <c r="R47" s="13">
        <f>'TR TUSD'!$R$47*'TR TUSD'!$R$60</f>
        <v>14.263282266658029</v>
      </c>
      <c r="S47" s="13">
        <f>'TR TUSD'!$S$47*'TR TUSD'!$S$60</f>
        <v>0</v>
      </c>
      <c r="T47" s="13">
        <f ca="1">SUM($L$47:$S$47)</f>
        <v>138.47939735076284</v>
      </c>
      <c r="U47" s="13">
        <f>'TR TUSD'!$U$47*'TR TUSD'!$U$60</f>
        <v>0</v>
      </c>
      <c r="V47" s="13">
        <f>'TR TUSD'!$V$47*'TR TUSD'!$V$60</f>
        <v>0</v>
      </c>
      <c r="W47" s="13">
        <f>'TR TUSD'!$W$47*'TR TUSD'!$W$60</f>
        <v>0</v>
      </c>
      <c r="X47" s="13">
        <f>'TR TUSD'!$X$47*'TR TUSD'!$X$60</f>
        <v>0</v>
      </c>
      <c r="Y47" s="13">
        <f>'TR TUSD'!$Y$47*'TR TUSD'!$Y$60</f>
        <v>110.11771275345221</v>
      </c>
      <c r="Z47" s="13">
        <f>'TR TUSD'!$Z$47</f>
        <v>0</v>
      </c>
      <c r="AA47" s="13">
        <f>'TR TUSD'!$AA$47</f>
        <v>0</v>
      </c>
      <c r="AB47" s="13">
        <f>SUM($U$47:$AA$47)</f>
        <v>110.11771275345221</v>
      </c>
      <c r="AC47" s="13">
        <f>'TR TUSD'!$AC$47*'TR TUSD'!$AC$60</f>
        <v>343.33893905901152</v>
      </c>
      <c r="AD47" s="13">
        <f>SUM($AC$47:$AC$47)</f>
        <v>343.33893905901152</v>
      </c>
      <c r="AE47" s="13">
        <v>0</v>
      </c>
      <c r="AF47" s="13">
        <v>0</v>
      </c>
      <c r="AG47" s="13">
        <f>SUM($AE$47:$AF$47)</f>
        <v>0</v>
      </c>
      <c r="AH47" s="13">
        <f>'TR TUSD'!$AH$47*'TR TUSD'!$AH$60</f>
        <v>13.110315065948088</v>
      </c>
      <c r="AI47" s="13">
        <f>'TR TUSD'!$AI$47*'TR TUSD'!$AI$60</f>
        <v>0</v>
      </c>
      <c r="AJ47" s="13">
        <f ca="1">'TR TUSD'!$AJ$47*'TR TUSD'!$AJ$60</f>
        <v>0</v>
      </c>
      <c r="AK47" s="13">
        <f ca="1">'TR TUSD'!$AK$47*'TR TUSD'!$AK$60</f>
        <v>0</v>
      </c>
      <c r="AL47" s="13">
        <f ca="1">SUM($AH$47:$AK$47)</f>
        <v>13.110315065948088</v>
      </c>
      <c r="AM47" s="13">
        <f ca="1">SUMIF($L$4:$AL$4,"SUBTOTAL",$L$47:$AL$47)</f>
        <v>605.04636422917463</v>
      </c>
      <c r="AP47" s="13">
        <f>IF((1 - CUSTOS!$M$31)&lt;&gt;0,1/(1 - CUSTOS!$M$31),1)</f>
        <v>1</v>
      </c>
    </row>
    <row r="48" spans="1:42" ht="11.25" customHeight="1" x14ac:dyDescent="0.25">
      <c r="A48" s="10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67</v>
      </c>
      <c r="H48" s="24" t="s">
        <v>60</v>
      </c>
      <c r="I48" s="24">
        <f>'MERCADO TUSD'!$U$45</f>
        <v>3301.431</v>
      </c>
      <c r="J48" s="15"/>
      <c r="L48" s="13">
        <f>'TR TUSD'!$L$48*'TR TUSD'!$L$60</f>
        <v>31.718954004593161</v>
      </c>
      <c r="M48" s="13">
        <f>'TR TUSD'!$M$48*'TR TUSD'!$M$60</f>
        <v>2.3043606176318141</v>
      </c>
      <c r="N48" s="13">
        <f ca="1">'TR TUSD'!$N$48*'TR TUSD'!$N$60</f>
        <v>0</v>
      </c>
      <c r="O48" s="13">
        <f>'TR TUSD'!$O$48*'TR TUSD'!$O$60</f>
        <v>0</v>
      </c>
      <c r="P48" s="13">
        <f>'TR TUSD'!$P$48*'TR TUSD'!$P$60</f>
        <v>0</v>
      </c>
      <c r="Q48" s="13">
        <f>'TR TUSD'!$Q$48*'TR TUSD'!$Q$60</f>
        <v>90.192800461879841</v>
      </c>
      <c r="R48" s="13">
        <f>'TR TUSD'!$R$48*'TR TUSD'!$R$60</f>
        <v>14.263282266658029</v>
      </c>
      <c r="S48" s="13">
        <f>'TR TUSD'!$S$48*'TR TUSD'!$S$60</f>
        <v>0</v>
      </c>
      <c r="T48" s="13">
        <f ca="1">SUM($L$48:$S$48)</f>
        <v>138.47939735076284</v>
      </c>
      <c r="U48" s="13">
        <f>'TR TUSD'!$U$48*'TR TUSD'!$U$60</f>
        <v>0</v>
      </c>
      <c r="V48" s="13">
        <f>'TR TUSD'!$V$48*'TR TUSD'!$V$60</f>
        <v>0</v>
      </c>
      <c r="W48" s="13">
        <f>'TR TUSD'!$W$48*'TR TUSD'!$W$60</f>
        <v>0</v>
      </c>
      <c r="X48" s="13">
        <f>'TR TUSD'!$X$48*'TR TUSD'!$X$60</f>
        <v>0</v>
      </c>
      <c r="Y48" s="13">
        <f>'TR TUSD'!$Y$48*'TR TUSD'!$Y$60</f>
        <v>159.61945287177366</v>
      </c>
      <c r="Z48" s="13">
        <f>'TR TUSD'!$Z$48</f>
        <v>0</v>
      </c>
      <c r="AA48" s="13">
        <f>'TR TUSD'!$AA$48</f>
        <v>0</v>
      </c>
      <c r="AB48" s="13">
        <f>SUM($U$48:$AA$48)</f>
        <v>159.61945287177366</v>
      </c>
      <c r="AC48" s="13">
        <f>'TR TUSD'!$AC$48*'TR TUSD'!$AC$60</f>
        <v>497.59236406905552</v>
      </c>
      <c r="AD48" s="13">
        <f>SUM($AC$48:$AC$48)</f>
        <v>497.59236406905552</v>
      </c>
      <c r="AE48" s="13">
        <v>0</v>
      </c>
      <c r="AF48" s="13">
        <v>0</v>
      </c>
      <c r="AG48" s="13">
        <f>SUM($AE$48:$AF$48)</f>
        <v>0</v>
      </c>
      <c r="AH48" s="13">
        <f>'TR TUSD'!$AH$48*'TR TUSD'!$AH$60</f>
        <v>13.110315065948088</v>
      </c>
      <c r="AI48" s="13">
        <f>'TR TUSD'!$AI$48*'TR TUSD'!$AI$60</f>
        <v>0</v>
      </c>
      <c r="AJ48" s="13">
        <f ca="1">'TR TUSD'!$AJ$48*'TR TUSD'!$AJ$60</f>
        <v>0</v>
      </c>
      <c r="AK48" s="13">
        <f ca="1">'TR TUSD'!$AK$48*'TR TUSD'!$AK$60</f>
        <v>0</v>
      </c>
      <c r="AL48" s="13">
        <f ca="1">SUM($AH$48:$AK$48)</f>
        <v>13.110315065948088</v>
      </c>
      <c r="AM48" s="13">
        <f ca="1">SUMIF($L$4:$AL$4,"SUBTOTAL",$L$48:$AL$48)</f>
        <v>808.80152935754006</v>
      </c>
      <c r="AP48" s="13">
        <f>IF((1 - CUSTOS!$M$31)&lt;&gt;0,1/(1 - CUSTOS!$M$31),1)</f>
        <v>1</v>
      </c>
    </row>
    <row r="49" spans="1:42" ht="11.25" customHeight="1" x14ac:dyDescent="0.25">
      <c r="A49" s="103"/>
      <c r="B49" s="23" t="s">
        <v>78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67</v>
      </c>
      <c r="H49" s="24" t="s">
        <v>60</v>
      </c>
      <c r="I49" s="24">
        <f>'MERCADO TUSD'!$U$46</f>
        <v>0</v>
      </c>
      <c r="J49" s="15"/>
      <c r="L49" s="13">
        <f>'TR TUSD'!$L$49*'TR TUSD'!$L$60</f>
        <v>31.718954004593161</v>
      </c>
      <c r="M49" s="13">
        <f>'TR TUSD'!$M$49*'TR TUSD'!$M$60</f>
        <v>2.3043606176318141</v>
      </c>
      <c r="N49" s="13">
        <f ca="1">'TR TUSD'!$N$49*'TR TUSD'!$N$60</f>
        <v>0</v>
      </c>
      <c r="O49" s="13">
        <f>'TR TUSD'!$O$49*'TR TUSD'!$O$60</f>
        <v>0</v>
      </c>
      <c r="P49" s="13">
        <f>'TR TUSD'!$P$49*'TR TUSD'!$P$60</f>
        <v>0</v>
      </c>
      <c r="Q49" s="13">
        <f>'TR TUSD'!$Q$49*'TR TUSD'!$Q$60</f>
        <v>90.192800461879841</v>
      </c>
      <c r="R49" s="13">
        <f>'TR TUSD'!$R$49*'TR TUSD'!$R$60</f>
        <v>14.263282266658029</v>
      </c>
      <c r="S49" s="13">
        <f>'TR TUSD'!$S$49*'TR TUSD'!$S$60</f>
        <v>0</v>
      </c>
      <c r="T49" s="13">
        <f ca="1">SUM($L$49:$S$49)</f>
        <v>138.47939735076284</v>
      </c>
      <c r="U49" s="13">
        <f>'TR TUSD'!$U$49*'TR TUSD'!$U$60</f>
        <v>0</v>
      </c>
      <c r="V49" s="13">
        <f>'TR TUSD'!$V$49*'TR TUSD'!$V$60</f>
        <v>0</v>
      </c>
      <c r="W49" s="13">
        <f>'TR TUSD'!$W$49*'TR TUSD'!$W$60</f>
        <v>0</v>
      </c>
      <c r="X49" s="13">
        <f>'TR TUSD'!$X$49*'TR TUSD'!$X$60</f>
        <v>0</v>
      </c>
      <c r="Y49" s="13">
        <f>'TR TUSD'!$Y$49*'TR TUSD'!$Y$60</f>
        <v>159.61945287177366</v>
      </c>
      <c r="Z49" s="13">
        <f>'TR TUSD'!$Z$49</f>
        <v>0</v>
      </c>
      <c r="AA49" s="13">
        <f>'TR TUSD'!$AA$49</f>
        <v>0</v>
      </c>
      <c r="AB49" s="13">
        <f>SUM($U$49:$AA$49)</f>
        <v>159.61945287177366</v>
      </c>
      <c r="AC49" s="13">
        <f>'TR TUSD'!$AC$49*'TR TUSD'!$AC$60</f>
        <v>497.59236406905552</v>
      </c>
      <c r="AD49" s="13">
        <f>SUM($AC$49:$AC$49)</f>
        <v>497.59236406905552</v>
      </c>
      <c r="AE49" s="13">
        <v>0</v>
      </c>
      <c r="AF49" s="13">
        <v>0</v>
      </c>
      <c r="AG49" s="13">
        <f>SUM($AE$49:$AF$49)</f>
        <v>0</v>
      </c>
      <c r="AH49" s="13">
        <f>'TR TUSD'!$AH$49*'TR TUSD'!$AH$60</f>
        <v>13.110315065948088</v>
      </c>
      <c r="AI49" s="13">
        <f>'TR TUSD'!$AI$49*'TR TUSD'!$AI$60</f>
        <v>0</v>
      </c>
      <c r="AJ49" s="13">
        <f ca="1">'TR TUSD'!$AJ$49*'TR TUSD'!$AJ$60</f>
        <v>0</v>
      </c>
      <c r="AK49" s="13">
        <f ca="1">'TR TUSD'!$AK$49*'TR TUSD'!$AK$60</f>
        <v>0</v>
      </c>
      <c r="AL49" s="13">
        <f ca="1">SUM($AH$49:$AK$49)</f>
        <v>13.110315065948088</v>
      </c>
      <c r="AM49" s="13">
        <f ca="1">SUMIF($L$4:$AL$4,"SUBTOTAL",$L$49:$AL$49)</f>
        <v>808.80152935754006</v>
      </c>
      <c r="AP49" s="13">
        <f>IF((1 - CUSTOS!$M$31)&lt;&gt;0,1/(1 - CUSTOS!$M$31),1)</f>
        <v>1</v>
      </c>
    </row>
    <row r="50" spans="1:42" ht="11.25" customHeight="1" x14ac:dyDescent="0.25">
      <c r="A50" s="103" t="s">
        <v>34</v>
      </c>
      <c r="B50" s="103" t="s">
        <v>23</v>
      </c>
      <c r="C50" s="103" t="s">
        <v>35</v>
      </c>
      <c r="D50" s="23" t="s">
        <v>36</v>
      </c>
      <c r="E50" s="23" t="s">
        <v>25</v>
      </c>
      <c r="F50" s="23" t="s">
        <v>25</v>
      </c>
      <c r="G50" s="24" t="s">
        <v>67</v>
      </c>
      <c r="H50" s="24" t="s">
        <v>60</v>
      </c>
      <c r="I50" s="24">
        <f>'MERCADO TUSD'!$U$47</f>
        <v>274.32500000000005</v>
      </c>
      <c r="J50" s="15"/>
      <c r="L50" s="13">
        <f>'TR TUSD'!$L$50*'TR TUSD'!$L$60</f>
        <v>17.445424702526239</v>
      </c>
      <c r="M50" s="13">
        <f>'TR TUSD'!$M$50*'TR TUSD'!$M$60</f>
        <v>1.2673983396974979</v>
      </c>
      <c r="N50" s="13">
        <f ca="1">'TR TUSD'!$N$50*'TR TUSD'!$N$60</f>
        <v>0</v>
      </c>
      <c r="O50" s="13">
        <f>'TR TUSD'!$O$50*'TR TUSD'!$O$60</f>
        <v>0</v>
      </c>
      <c r="P50" s="13">
        <f>'TR TUSD'!$P$50*'TR TUSD'!$P$60</f>
        <v>0</v>
      </c>
      <c r="Q50" s="13">
        <f>'TR TUSD'!$Q$50*'TR TUSD'!$Q$60</f>
        <v>49.606040254033914</v>
      </c>
      <c r="R50" s="13">
        <f>'TR TUSD'!$R$50*'TR TUSD'!$R$60</f>
        <v>7.8448052466619167</v>
      </c>
      <c r="S50" s="13">
        <f>'TR TUSD'!$S$50*'TR TUSD'!$S$60</f>
        <v>0</v>
      </c>
      <c r="T50" s="13">
        <f ca="1">SUM($L$50:$S$50)</f>
        <v>76.163668542919567</v>
      </c>
      <c r="U50" s="13">
        <f>'TR TUSD'!$U$50*'TR TUSD'!$U$60</f>
        <v>0</v>
      </c>
      <c r="V50" s="13">
        <f>'TR TUSD'!$V$50*'TR TUSD'!$V$60</f>
        <v>0</v>
      </c>
      <c r="W50" s="13">
        <f>'TR TUSD'!$W$50*'TR TUSD'!$W$60</f>
        <v>0</v>
      </c>
      <c r="X50" s="13">
        <f>'TR TUSD'!$X$50*'TR TUSD'!$X$60</f>
        <v>0</v>
      </c>
      <c r="Y50" s="13">
        <f>'TR TUSD'!$Y$50*'TR TUSD'!$Y$60</f>
        <v>87.79069907947553</v>
      </c>
      <c r="Z50" s="13">
        <f>'TR TUSD'!$Z$50</f>
        <v>0</v>
      </c>
      <c r="AA50" s="13">
        <f>'TR TUSD'!$AA$50</f>
        <v>0</v>
      </c>
      <c r="AB50" s="13">
        <f>SUM($U$50:$AA$50)</f>
        <v>87.79069907947553</v>
      </c>
      <c r="AC50" s="13">
        <f>'TR TUSD'!$AC$50*'TR TUSD'!$AC$60</f>
        <v>273.67580023798052</v>
      </c>
      <c r="AD50" s="13">
        <f>SUM($AC$50:$AC$50)</f>
        <v>273.67580023798052</v>
      </c>
      <c r="AE50" s="13">
        <v>0</v>
      </c>
      <c r="AF50" s="13">
        <v>0</v>
      </c>
      <c r="AG50" s="13">
        <f>SUM($AE$50:$AF$50)</f>
        <v>0</v>
      </c>
      <c r="AH50" s="13">
        <f>'TR TUSD'!$AH$50*'TR TUSD'!$AH$60</f>
        <v>7.2106732862714491</v>
      </c>
      <c r="AI50" s="13">
        <f>'TR TUSD'!$AI$50*'TR TUSD'!$AI$60</f>
        <v>0</v>
      </c>
      <c r="AJ50" s="13">
        <f ca="1">'TR TUSD'!$AJ$50*'TR TUSD'!$AJ$60</f>
        <v>0</v>
      </c>
      <c r="AK50" s="13">
        <f ca="1">'TR TUSD'!$AK$50*'TR TUSD'!$AK$60</f>
        <v>0</v>
      </c>
      <c r="AL50" s="13">
        <f ca="1">SUM($AH$50:$AK$50)</f>
        <v>7.2106732862714491</v>
      </c>
      <c r="AM50" s="13">
        <f ca="1">SUMIF($L$4:$AL$4,"SUBTOTAL",$L$50:$AL$50)</f>
        <v>444.84084114664711</v>
      </c>
      <c r="AP50" s="13">
        <f>IF((1 - CUSTOS!$M$32)&lt;&gt;0,1/(1 - CUSTOS!$M$32),1)</f>
        <v>1.8181818181818181</v>
      </c>
    </row>
    <row r="51" spans="1:42" ht="11.25" customHeight="1" x14ac:dyDescent="0.25">
      <c r="A51" s="103"/>
      <c r="B51" s="103"/>
      <c r="C51" s="103"/>
      <c r="D51" s="24" t="s">
        <v>81</v>
      </c>
      <c r="E51" s="24" t="s">
        <v>25</v>
      </c>
      <c r="F51" s="24" t="s">
        <v>25</v>
      </c>
      <c r="G51" s="24" t="s">
        <v>67</v>
      </c>
      <c r="H51" s="24" t="s">
        <v>60</v>
      </c>
      <c r="I51" s="24">
        <f>'MERCADO TUSD'!$U$48</f>
        <v>0</v>
      </c>
      <c r="J51" s="15"/>
      <c r="L51" s="13">
        <f>'TR TUSD'!$L$51*'TR TUSD'!$L$60</f>
        <v>19.031372402755895</v>
      </c>
      <c r="M51" s="13">
        <f>'TR TUSD'!$M$51*'TR TUSD'!$M$60</f>
        <v>1.3826163705790884</v>
      </c>
      <c r="N51" s="13">
        <f ca="1">'TR TUSD'!$N$51*'TR TUSD'!$N$60</f>
        <v>0</v>
      </c>
      <c r="O51" s="13">
        <f>'TR TUSD'!$O$51*'TR TUSD'!$O$60</f>
        <v>0</v>
      </c>
      <c r="P51" s="13">
        <f>'TR TUSD'!$P$51*'TR TUSD'!$P$60</f>
        <v>0</v>
      </c>
      <c r="Q51" s="13">
        <f>'TR TUSD'!$Q$51*'TR TUSD'!$Q$60</f>
        <v>54.1156802771279</v>
      </c>
      <c r="R51" s="13">
        <f>'TR TUSD'!$R$51*'TR TUSD'!$R$60</f>
        <v>8.5579693599948179</v>
      </c>
      <c r="S51" s="13">
        <f>'TR TUSD'!$S$51*'TR TUSD'!$S$60</f>
        <v>0</v>
      </c>
      <c r="T51" s="13">
        <f ca="1">SUM($L$51:$S$51)</f>
        <v>83.0876384104577</v>
      </c>
      <c r="U51" s="13">
        <f>'TR TUSD'!$U$51*'TR TUSD'!$U$60</f>
        <v>0</v>
      </c>
      <c r="V51" s="13">
        <f>'TR TUSD'!$V$51*'TR TUSD'!$V$60</f>
        <v>0</v>
      </c>
      <c r="W51" s="13">
        <f>'TR TUSD'!$W$51*'TR TUSD'!$W$60</f>
        <v>0</v>
      </c>
      <c r="X51" s="13">
        <f>'TR TUSD'!$X$51*'TR TUSD'!$X$60</f>
        <v>0</v>
      </c>
      <c r="Y51" s="13">
        <f>'TR TUSD'!$Y$51*'TR TUSD'!$Y$60</f>
        <v>95.771671723064188</v>
      </c>
      <c r="Z51" s="13">
        <f>'TR TUSD'!$Z$51</f>
        <v>0</v>
      </c>
      <c r="AA51" s="13">
        <f>'TR TUSD'!$AA$51</f>
        <v>0</v>
      </c>
      <c r="AB51" s="13">
        <f>SUM($U$51:$AA$51)</f>
        <v>95.771671723064188</v>
      </c>
      <c r="AC51" s="13">
        <f>'TR TUSD'!$AC$51*'TR TUSD'!$AC$60</f>
        <v>298.55541844143335</v>
      </c>
      <c r="AD51" s="13">
        <f>SUM($AC$51:$AC$51)</f>
        <v>298.55541844143335</v>
      </c>
      <c r="AE51" s="13">
        <v>0</v>
      </c>
      <c r="AF51" s="13">
        <v>0</v>
      </c>
      <c r="AG51" s="13">
        <f>SUM($AE$51:$AF$51)</f>
        <v>0</v>
      </c>
      <c r="AH51" s="13">
        <f>'TR TUSD'!$AH$51*'TR TUSD'!$AH$60</f>
        <v>7.8661890395688525</v>
      </c>
      <c r="AI51" s="13">
        <f>'TR TUSD'!$AI$51*'TR TUSD'!$AI$60</f>
        <v>0</v>
      </c>
      <c r="AJ51" s="13">
        <f ca="1">'TR TUSD'!$AJ$51*'TR TUSD'!$AJ$60</f>
        <v>0</v>
      </c>
      <c r="AK51" s="13">
        <f ca="1">'TR TUSD'!$AK$51*'TR TUSD'!$AK$60</f>
        <v>0</v>
      </c>
      <c r="AL51" s="13">
        <f ca="1">SUM($AH$51:$AK$51)</f>
        <v>7.8661890395688525</v>
      </c>
      <c r="AM51" s="13">
        <f ca="1">SUMIF($L$4:$AL$4,"SUBTOTAL",$L$51:$AL$51)</f>
        <v>485.28091761452407</v>
      </c>
      <c r="AP51" s="13">
        <f>IF((1 - CUSTOS!$M$33)&lt;&gt;0,1/(1 - CUSTOS!$M$33),1)</f>
        <v>1.6666666666666667</v>
      </c>
    </row>
    <row r="53" spans="1:42" ht="11.25" customHeight="1" x14ac:dyDescent="0.25">
      <c r="K53" s="16" t="s">
        <v>374</v>
      </c>
      <c r="L53" s="13">
        <f>SUMPRODUCT($I$5:$I51,$L$5:$L51)</f>
        <v>415113.20676963864</v>
      </c>
      <c r="M53" s="13">
        <f>SUMPRODUCT($I$5:$I51,$M$5:$M51)</f>
        <v>30541.582569726634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1180373.81125</v>
      </c>
      <c r="R53" s="13">
        <f>SUMPRODUCT($I$5:$I51,$R$5:$R51)</f>
        <v>186666.83775000004</v>
      </c>
      <c r="S53" s="13">
        <f>SUMPRODUCT($I$5:$I51,$S$5:$S51)</f>
        <v>0</v>
      </c>
      <c r="T53" s="13">
        <f ca="1">SUMPRODUCT($I$5:$I51,$T$5:$T51)</f>
        <v>1812695.4383393649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2115567.6166000003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2115567.6166000003</v>
      </c>
      <c r="AC53" s="13">
        <f>SUMPRODUCT($I$5:$I51,$AC$5:$AC51)</f>
        <v>6595000.0000000009</v>
      </c>
      <c r="AD53" s="13">
        <f>SUMPRODUCT($I$5:$I51,$AD$5:$AD51)</f>
        <v>6595000.0000000009</v>
      </c>
      <c r="AE53" s="13">
        <f>SUMPRODUCT($I$5:$I51,$AE$5:$AE51)</f>
        <v>0</v>
      </c>
      <c r="AF53" s="13">
        <f>SUMPRODUCT($I$5:$I51,$AF$5:$AF51)</f>
        <v>0</v>
      </c>
      <c r="AG53" s="13">
        <f>SUMPRODUCT($I$5:$I51,$AG$5:$AG51)</f>
        <v>0</v>
      </c>
      <c r="AH53" s="13">
        <f>SUMPRODUCT($I$5:$I51,$AH$5:$AH51)</f>
        <v>173761.76586040409</v>
      </c>
      <c r="AI53" s="13">
        <f>SUMPRODUCT($I$5:$I51,$AI$5:$AI51)</f>
        <v>0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173761.76586040409</v>
      </c>
      <c r="AM53" s="13">
        <f ca="1">SUMPRODUCT($I$5:$I51,$AM$5:$AM51)</f>
        <v>10697024.820799768</v>
      </c>
    </row>
    <row r="54" spans="1:42" ht="11.25" customHeight="1" x14ac:dyDescent="0.25">
      <c r="K54" s="16" t="s">
        <v>305</v>
      </c>
      <c r="L54" s="13">
        <f>'TR TUSD'!$L$56</f>
        <v>415113.20676963858</v>
      </c>
      <c r="M54" s="13">
        <f>'TR TUSD'!$M$56</f>
        <v>30541.582569726626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1180373.81125</v>
      </c>
      <c r="R54" s="13">
        <f>'TR TUSD'!$R$56</f>
        <v>186666.83775000004</v>
      </c>
      <c r="S54" s="13">
        <f>'TR TUSD'!$S$56</f>
        <v>0</v>
      </c>
      <c r="T54" s="13">
        <f>'TR TUSD'!$T$56</f>
        <v>1812695.4383393652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2115567.6166000003</v>
      </c>
      <c r="Z54" s="13">
        <f>'TR TUSD'!$Z$56</f>
        <v>0</v>
      </c>
      <c r="AA54" s="13">
        <f>'TR TUSD'!$AA$56</f>
        <v>0</v>
      </c>
      <c r="AB54" s="13">
        <f>'TR TUSD'!$AB$56</f>
        <v>2115567.6166000003</v>
      </c>
      <c r="AC54" s="13">
        <f>'TR TUSD'!$AC$56</f>
        <v>6595000</v>
      </c>
      <c r="AD54" s="13">
        <f>'TR TUSD'!$AD$56</f>
        <v>6595000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173761.76586040409</v>
      </c>
      <c r="AI54" s="13">
        <f>'TR TUSD'!$AI$56</f>
        <v>0</v>
      </c>
      <c r="AJ54" s="13">
        <f>'TR TUSD'!$AJ$56</f>
        <v>0</v>
      </c>
      <c r="AK54" s="13">
        <f>'TR TUSD'!$AK$56</f>
        <v>0</v>
      </c>
      <c r="AL54" s="13">
        <f>'TR TUSD'!$AL$56</f>
        <v>173761.76586040409</v>
      </c>
      <c r="AM54" s="13">
        <f>CUSTOS!$D$29</f>
        <v>10697024.82079977</v>
      </c>
    </row>
    <row r="55" spans="1:42" ht="11.25" customHeight="1" x14ac:dyDescent="0.25">
      <c r="K55" s="16" t="s">
        <v>306</v>
      </c>
      <c r="L55" s="13">
        <f>CUSTOS!$E$2</f>
        <v>-9143.4708291486622</v>
      </c>
      <c r="M55" s="13">
        <f>CUSTOS!$E$3</f>
        <v>-874.8829567243414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-17173.440985587797</v>
      </c>
      <c r="R55" s="13">
        <f>CUSTOS!$E$8</f>
        <v>-2656.0980747707695</v>
      </c>
      <c r="S55" s="13">
        <f>CUSTOS!$E$9</f>
        <v>0</v>
      </c>
      <c r="T55" s="13">
        <f>CUSTOS!$E$10</f>
        <v>-29847.892846231571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-36992.214810574027</v>
      </c>
      <c r="Z55" s="13">
        <f>CUSTOS!$E$16</f>
        <v>0</v>
      </c>
      <c r="AA55" s="13">
        <f>CUSTOS!$E$17</f>
        <v>0</v>
      </c>
      <c r="AB55" s="13">
        <f>CUSTOS!$E$18</f>
        <v>-36992.214810574027</v>
      </c>
      <c r="AC55" s="13">
        <f>CUSTOS!$E$19</f>
        <v>-4201742.6235143151</v>
      </c>
      <c r="AD55" s="13">
        <f>CUSTOS!$E$20</f>
        <v>-4201742.6235143151</v>
      </c>
      <c r="AE55" s="13">
        <f>CUSTOS!$E$21</f>
        <v>0</v>
      </c>
      <c r="AF55" s="13">
        <f>CUSTOS!$E$22</f>
        <v>0</v>
      </c>
      <c r="AG55" s="13">
        <f>CUSTOS!$E$23</f>
        <v>0</v>
      </c>
      <c r="AH55" s="13">
        <f>CUSTOS!$E$24</f>
        <v>-8187.4636096936792</v>
      </c>
      <c r="AI55" s="13">
        <f>CUSTOS!$E$25</f>
        <v>0</v>
      </c>
      <c r="AJ55" s="13">
        <f>CUSTOS!$E$26</f>
        <v>0</v>
      </c>
      <c r="AK55" s="13">
        <f>CUSTOS!$E$27</f>
        <v>0</v>
      </c>
      <c r="AL55" s="13">
        <f>CUSTOS!$E$28</f>
        <v>-8187.4636096936792</v>
      </c>
      <c r="AM55" s="13">
        <f>CUSTOS!$E$29</f>
        <v>-4276770.1947808145</v>
      </c>
    </row>
    <row r="56" spans="1:42" ht="11.25" customHeight="1" x14ac:dyDescent="0.25">
      <c r="K56" s="16" t="s">
        <v>307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25">
      <c r="K57" s="16" t="s">
        <v>371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f>SUM($L$57:$S$57)</f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f>SUM($U$57:$AA$57)</f>
        <v>0</v>
      </c>
      <c r="AC57" s="13">
        <v>0</v>
      </c>
      <c r="AD57" s="13">
        <f>SUM($AC$57:$AC$57)</f>
        <v>0</v>
      </c>
      <c r="AE57" s="13">
        <v>0</v>
      </c>
      <c r="AF57" s="13">
        <v>0</v>
      </c>
      <c r="AG57" s="13">
        <f>SUM($AE$57:$AF$57)</f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f>SUM($AH$57:$AK$57)</f>
        <v>0</v>
      </c>
      <c r="AM57" s="13">
        <f>SUMIF($L$4:$AL$4,"SUBTOTAL",$L$57:$AL$57)</f>
        <v>0</v>
      </c>
    </row>
    <row r="58" spans="1:42" ht="11.25" customHeight="1" x14ac:dyDescent="0.25">
      <c r="K58" s="16" t="s">
        <v>375</v>
      </c>
      <c r="L58" s="13">
        <f t="shared" ref="L58:R58" si="0">IF((L53-(0))&lt;&gt;0,(L55)/(L53-(0)),0)</f>
        <v>-2.2026451290967249E-2</v>
      </c>
      <c r="M58" s="13">
        <f t="shared" si="0"/>
        <v>-2.8645632711631033E-2</v>
      </c>
      <c r="N58" s="13">
        <f t="shared" ca="1" si="0"/>
        <v>0</v>
      </c>
      <c r="O58" s="13">
        <f t="shared" si="0"/>
        <v>0</v>
      </c>
      <c r="P58" s="13">
        <f t="shared" si="0"/>
        <v>0</v>
      </c>
      <c r="Q58" s="13">
        <f t="shared" si="0"/>
        <v>-1.4549154532157361E-2</v>
      </c>
      <c r="R58" s="13">
        <f t="shared" si="0"/>
        <v>-1.4229083787919736E-2</v>
      </c>
      <c r="S58" s="13">
        <f>IF((R53-(0)&lt;&gt;0),(S55)/(R53-(0)),0)</f>
        <v>0</v>
      </c>
      <c r="T58" s="13"/>
      <c r="U58" s="13">
        <f t="shared" ref="U58:AA58" si="1">IF((U53-(0))&lt;&gt;0,(U55)/(U53-(0)),0)</f>
        <v>0</v>
      </c>
      <c r="V58" s="13">
        <f t="shared" si="1"/>
        <v>0</v>
      </c>
      <c r="W58" s="13">
        <f t="shared" si="1"/>
        <v>0</v>
      </c>
      <c r="X58" s="13">
        <f t="shared" si="1"/>
        <v>0</v>
      </c>
      <c r="Y58" s="13">
        <f t="shared" si="1"/>
        <v>-1.7485716136090918E-2</v>
      </c>
      <c r="Z58" s="13">
        <f t="shared" si="1"/>
        <v>0</v>
      </c>
      <c r="AA58" s="13">
        <f t="shared" si="1"/>
        <v>0</v>
      </c>
      <c r="AB58" s="13"/>
      <c r="AC58" s="13">
        <f>IF((AC53-(0))&lt;&gt;0,(AC55)/(AC53-(0)),0)</f>
        <v>-0.63711032957002489</v>
      </c>
      <c r="AD58" s="13"/>
      <c r="AE58" s="13">
        <f ca="1">IF(($AM53-(0))&lt;&gt;0,(AE55)/($AM53-(0)),0)</f>
        <v>0</v>
      </c>
      <c r="AF58" s="13">
        <f ca="1">IF(($AM53-(0))&lt;&gt;0,(AF55)/($AM53-(0)),0)</f>
        <v>0</v>
      </c>
      <c r="AG58" s="13"/>
      <c r="AH58" s="13">
        <f>IF((AH53-(0))&lt;&gt;0,(AH55)/(AH53-(0)),0)</f>
        <v>-4.7118901958393342E-2</v>
      </c>
      <c r="AI58" s="13">
        <f>IF((AI53-(0))&lt;&gt;0,(AI55)/(AI53-(0)),0)</f>
        <v>0</v>
      </c>
      <c r="AJ58" s="13">
        <f ca="1">IF((AJ53-(0))&lt;&gt;0,(AJ55)/(AJ53-(0)),0)</f>
        <v>0</v>
      </c>
      <c r="AK58" s="13">
        <f ca="1">IF((AK53-(0))&lt;&gt;0,(AK55)/(AK53-(0)),0)</f>
        <v>0</v>
      </c>
      <c r="AL58" s="13"/>
      <c r="AM58" s="13"/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conditionalFormatting sqref="L53">
    <cfRule type="cellIs" dxfId="722" priority="55" operator="notEqual">
      <formula>$L$54-$L$57</formula>
    </cfRule>
    <cfRule type="cellIs" dxfId="721" priority="56" operator="equal">
      <formula>$L$54-$L$57</formula>
    </cfRule>
  </conditionalFormatting>
  <conditionalFormatting sqref="M53">
    <cfRule type="cellIs" dxfId="720" priority="53" operator="notEqual">
      <formula>$M$54-$M$57</formula>
    </cfRule>
    <cfRule type="cellIs" dxfId="719" priority="54" operator="equal">
      <formula>$M$54-$M$57</formula>
    </cfRule>
  </conditionalFormatting>
  <conditionalFormatting sqref="N53">
    <cfRule type="cellIs" dxfId="718" priority="51" operator="notEqual">
      <formula>$N$54-$N$57</formula>
    </cfRule>
    <cfRule type="cellIs" dxfId="717" priority="52" operator="equal">
      <formula>$N$54-$N$57</formula>
    </cfRule>
  </conditionalFormatting>
  <conditionalFormatting sqref="O53">
    <cfRule type="cellIs" dxfId="716" priority="49" operator="notEqual">
      <formula>$O$54-$O$57</formula>
    </cfRule>
    <cfRule type="cellIs" dxfId="715" priority="50" operator="equal">
      <formula>$O$54-$O$57</formula>
    </cfRule>
  </conditionalFormatting>
  <conditionalFormatting sqref="P53">
    <cfRule type="cellIs" dxfId="714" priority="47" operator="notEqual">
      <formula>$P$54-$P$57</formula>
    </cfRule>
    <cfRule type="cellIs" dxfId="713" priority="48" operator="equal">
      <formula>$P$54-$P$57</formula>
    </cfRule>
  </conditionalFormatting>
  <conditionalFormatting sqref="Q53">
    <cfRule type="cellIs" dxfId="712" priority="45" operator="notEqual">
      <formula>$Q$54-$Q$57</formula>
    </cfRule>
    <cfRule type="cellIs" dxfId="711" priority="46" operator="equal">
      <formula>$Q$54-$Q$57</formula>
    </cfRule>
  </conditionalFormatting>
  <conditionalFormatting sqref="R53">
    <cfRule type="cellIs" dxfId="710" priority="43" operator="notEqual">
      <formula>$R$54-$R$57</formula>
    </cfRule>
    <cfRule type="cellIs" dxfId="709" priority="44" operator="equal">
      <formula>$R$54-$R$57</formula>
    </cfRule>
  </conditionalFormatting>
  <conditionalFormatting sqref="S53">
    <cfRule type="cellIs" dxfId="708" priority="41" operator="notEqual">
      <formula>$S$54-$S$57</formula>
    </cfRule>
    <cfRule type="cellIs" dxfId="707" priority="42" operator="equal">
      <formula>$S$54-$S$57</formula>
    </cfRule>
  </conditionalFormatting>
  <conditionalFormatting sqref="T53">
    <cfRule type="cellIs" dxfId="706" priority="39" operator="notEqual">
      <formula>$T$54-$T$57</formula>
    </cfRule>
    <cfRule type="cellIs" dxfId="705" priority="40" operator="equal">
      <formula>$T$54-$T$57</formula>
    </cfRule>
  </conditionalFormatting>
  <conditionalFormatting sqref="U53">
    <cfRule type="cellIs" dxfId="704" priority="37" operator="notEqual">
      <formula>$U$54-$U$57</formula>
    </cfRule>
    <cfRule type="cellIs" dxfId="703" priority="38" operator="equal">
      <formula>$U$54-$U$57</formula>
    </cfRule>
  </conditionalFormatting>
  <conditionalFormatting sqref="V53">
    <cfRule type="cellIs" dxfId="702" priority="35" operator="notEqual">
      <formula>$V$54-$V$57</formula>
    </cfRule>
    <cfRule type="cellIs" dxfId="701" priority="36" operator="equal">
      <formula>$V$54-$V$57</formula>
    </cfRule>
  </conditionalFormatting>
  <conditionalFormatting sqref="W53">
    <cfRule type="cellIs" dxfId="700" priority="33" operator="notEqual">
      <formula>$W$54-$W$57</formula>
    </cfRule>
    <cfRule type="cellIs" dxfId="699" priority="34" operator="equal">
      <formula>$W$54-$W$57</formula>
    </cfRule>
  </conditionalFormatting>
  <conditionalFormatting sqref="X53">
    <cfRule type="cellIs" dxfId="698" priority="31" operator="notEqual">
      <formula>$X$54-$X$57</formula>
    </cfRule>
    <cfRule type="cellIs" dxfId="697" priority="32" operator="equal">
      <formula>$X$54-$X$57</formula>
    </cfRule>
  </conditionalFormatting>
  <conditionalFormatting sqref="Y53">
    <cfRule type="cellIs" dxfId="696" priority="29" operator="notEqual">
      <formula>$Y$54-$Y$57</formula>
    </cfRule>
    <cfRule type="cellIs" dxfId="695" priority="30" operator="equal">
      <formula>$Y$54-$Y$57</formula>
    </cfRule>
  </conditionalFormatting>
  <conditionalFormatting sqref="Z53">
    <cfRule type="cellIs" dxfId="694" priority="27" operator="notEqual">
      <formula>$Z$54-$Z$57</formula>
    </cfRule>
    <cfRule type="cellIs" dxfId="693" priority="28" operator="equal">
      <formula>$Z$54-$Z$57</formula>
    </cfRule>
  </conditionalFormatting>
  <conditionalFormatting sqref="AA53">
    <cfRule type="cellIs" dxfId="692" priority="25" operator="notEqual">
      <formula>$AA$54-$AA$57</formula>
    </cfRule>
    <cfRule type="cellIs" dxfId="691" priority="26" operator="equal">
      <formula>$AA$54-$AA$57</formula>
    </cfRule>
  </conditionalFormatting>
  <conditionalFormatting sqref="AB53">
    <cfRule type="cellIs" dxfId="690" priority="23" operator="notEqual">
      <formula>$AB$54-$AB$57</formula>
    </cfRule>
    <cfRule type="cellIs" dxfId="689" priority="24" operator="equal">
      <formula>$AB$54-$AB$57</formula>
    </cfRule>
  </conditionalFormatting>
  <conditionalFormatting sqref="AC53">
    <cfRule type="cellIs" dxfId="688" priority="21" operator="notEqual">
      <formula>$AC$54-$AC$57</formula>
    </cfRule>
    <cfRule type="cellIs" dxfId="687" priority="22" operator="equal">
      <formula>$AC$54-$AC$57</formula>
    </cfRule>
  </conditionalFormatting>
  <conditionalFormatting sqref="AD53">
    <cfRule type="cellIs" dxfId="686" priority="19" operator="notEqual">
      <formula>$AD$54-$AD$57</formula>
    </cfRule>
    <cfRule type="cellIs" dxfId="685" priority="20" operator="equal">
      <formula>$AD$54-$AD$57</formula>
    </cfRule>
  </conditionalFormatting>
  <conditionalFormatting sqref="AE53">
    <cfRule type="cellIs" dxfId="684" priority="17" operator="notEqual">
      <formula>$AE$54-$AE$57</formula>
    </cfRule>
    <cfRule type="cellIs" dxfId="683" priority="18" operator="equal">
      <formula>$AE$54-$AE$57</formula>
    </cfRule>
  </conditionalFormatting>
  <conditionalFormatting sqref="AF53">
    <cfRule type="cellIs" dxfId="682" priority="16" operator="equal">
      <formula>$AF$54-$AF$57</formula>
    </cfRule>
  </conditionalFormatting>
  <conditionalFormatting sqref="AF53">
    <cfRule type="cellIs" dxfId="681" priority="15" operator="notEqual">
      <formula>$AF$54-$AF$57</formula>
    </cfRule>
  </conditionalFormatting>
  <conditionalFormatting sqref="AG53">
    <cfRule type="cellIs" dxfId="680" priority="14" operator="equal">
      <formula>$AG$54-$AG$57</formula>
    </cfRule>
  </conditionalFormatting>
  <conditionalFormatting sqref="AG53">
    <cfRule type="cellIs" dxfId="679" priority="13" operator="notEqual">
      <formula>$AG$54-$AG$57</formula>
    </cfRule>
  </conditionalFormatting>
  <conditionalFormatting sqref="AH53">
    <cfRule type="cellIs" dxfId="678" priority="12" operator="equal">
      <formula>$AH$54-$AH$57</formula>
    </cfRule>
  </conditionalFormatting>
  <conditionalFormatting sqref="AH53">
    <cfRule type="cellIs" dxfId="677" priority="11" operator="notEqual">
      <formula>$AH$54-$AH$57</formula>
    </cfRule>
  </conditionalFormatting>
  <conditionalFormatting sqref="AI53">
    <cfRule type="cellIs" dxfId="676" priority="10" operator="equal">
      <formula>$AI$54-$AI$57</formula>
    </cfRule>
  </conditionalFormatting>
  <conditionalFormatting sqref="AI53">
    <cfRule type="cellIs" dxfId="675" priority="9" operator="notEqual">
      <formula>$AI$54-$AI$57</formula>
    </cfRule>
  </conditionalFormatting>
  <conditionalFormatting sqref="AJ53">
    <cfRule type="cellIs" dxfId="674" priority="8" operator="equal">
      <formula>$AJ$54-$AJ$57</formula>
    </cfRule>
  </conditionalFormatting>
  <conditionalFormatting sqref="AJ53">
    <cfRule type="cellIs" dxfId="673" priority="7" operator="notEqual">
      <formula>$AJ$54-$AJ$57</formula>
    </cfRule>
  </conditionalFormatting>
  <conditionalFormatting sqref="AK53">
    <cfRule type="cellIs" dxfId="672" priority="6" operator="equal">
      <formula>$AK$54-$AK$57</formula>
    </cfRule>
  </conditionalFormatting>
  <conditionalFormatting sqref="AK53">
    <cfRule type="cellIs" dxfId="671" priority="5" operator="notEqual">
      <formula>$AK$54-$AK$57</formula>
    </cfRule>
  </conditionalFormatting>
  <conditionalFormatting sqref="AL53">
    <cfRule type="cellIs" dxfId="670" priority="4" operator="equal">
      <formula>$AL$54-$AL$57</formula>
    </cfRule>
  </conditionalFormatting>
  <conditionalFormatting sqref="AL53">
    <cfRule type="cellIs" dxfId="669" priority="3" operator="notEqual">
      <formula>$AL$54-$AL$57</formula>
    </cfRule>
  </conditionalFormatting>
  <conditionalFormatting sqref="AM53">
    <cfRule type="cellIs" dxfId="668" priority="2" operator="equal">
      <formula>$AM$54-$AM$57</formula>
    </cfRule>
  </conditionalFormatting>
  <conditionalFormatting sqref="AM53">
    <cfRule type="cellIs" dxfId="667" priority="1" operator="notEqual">
      <formula>$AM$54-$AM$57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Mercado_Receita</vt:lpstr>
      <vt:lpstr>EVENTOS</vt:lpstr>
      <vt:lpstr>TAR FIN</vt:lpstr>
      <vt:lpstr>MERCADO TUSD</vt:lpstr>
      <vt:lpstr>MERCADO TE</vt:lpstr>
      <vt:lpstr>CUSTOS</vt:lpstr>
      <vt:lpstr>TRANSICAO</vt:lpstr>
      <vt:lpstr>TR TUSD</vt:lpstr>
      <vt:lpstr>TUSD BE</vt:lpstr>
      <vt:lpstr>TUSD BF</vt:lpstr>
      <vt:lpstr>TUSD CVA</vt:lpstr>
      <vt:lpstr>TR TE</vt:lpstr>
      <vt:lpstr>TE BE</vt:lpstr>
      <vt:lpstr>TE BF</vt:lpstr>
      <vt:lpstr>TE CVA</vt:lpstr>
      <vt:lpstr>EFEITO</vt:lpstr>
      <vt:lpstr>SUBSIDIO</vt:lpstr>
      <vt:lpstr>TabDinEfeito</vt:lpstr>
      <vt:lpstr>TabDinSubsidio</vt:lpstr>
      <vt:lpstr>TABELAS REH</vt:lpstr>
      <vt:lpstr>CONSISTENCIA</vt:lpstr>
      <vt:lpstr>TUSD</vt:lpstr>
      <vt:lpstr>TE</vt:lpstr>
      <vt:lpstr>RESUMO TUSD</vt:lpstr>
      <vt:lpstr>RESUMO TE</vt:lpstr>
      <vt:lpstr>Descontos</vt:lpstr>
      <vt:lpstr>ERD</vt:lpstr>
      <vt:lpstr>TA - Aplicação</vt:lpstr>
      <vt:lpstr>TA - BE</vt:lpstr>
      <vt:lpstr>TA - CVA</vt:lpstr>
    </vt:vector>
  </TitlesOfParts>
  <Company>ANEEL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Kuhn Yatsu</dc:creator>
  <cp:lastModifiedBy>Administrador</cp:lastModifiedBy>
  <dcterms:created xsi:type="dcterms:W3CDTF">2022-11-11T21:20:16Z</dcterms:created>
  <dcterms:modified xsi:type="dcterms:W3CDTF">2022-11-16T19:47:37Z</dcterms:modified>
</cp:coreProperties>
</file>